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240" yWindow="300" windowWidth="18795" windowHeight="11640" tabRatio="704" activeTab="1"/>
  </bookViews>
  <sheets>
    <sheet name="ResolvingToBase" sheetId="18" r:id="rId1"/>
    <sheet name="HorizontalEquilibrium" sheetId="41" r:id="rId2"/>
  </sheets>
  <calcPr calcId="145621"/>
</workbook>
</file>

<file path=xl/calcChain.xml><?xml version="1.0" encoding="utf-8"?>
<calcChain xmlns="http://schemas.openxmlformats.org/spreadsheetml/2006/main">
  <c r="H27" i="41" l="1"/>
  <c r="N27" i="41" s="1"/>
  <c r="G27" i="41"/>
  <c r="L27" i="41" s="1"/>
  <c r="F27" i="41"/>
  <c r="H26" i="41"/>
  <c r="N26" i="41" s="1"/>
  <c r="G26" i="41"/>
  <c r="L26" i="41" s="1"/>
  <c r="F26" i="41"/>
  <c r="H25" i="41"/>
  <c r="N25" i="41" s="1"/>
  <c r="G25" i="41"/>
  <c r="L25" i="41" s="1"/>
  <c r="F25" i="41"/>
  <c r="H24" i="41"/>
  <c r="N24" i="41" s="1"/>
  <c r="G24" i="41"/>
  <c r="L24" i="41" s="1"/>
  <c r="F24" i="41"/>
  <c r="H23" i="41"/>
  <c r="N23" i="41" s="1"/>
  <c r="G23" i="41"/>
  <c r="L23" i="41" s="1"/>
  <c r="F23" i="41"/>
  <c r="H22" i="41"/>
  <c r="N22" i="41" s="1"/>
  <c r="G22" i="41"/>
  <c r="L22" i="41" s="1"/>
  <c r="F22" i="41"/>
  <c r="H21" i="41"/>
  <c r="N21" i="41" s="1"/>
  <c r="G21" i="41"/>
  <c r="L21" i="41" s="1"/>
  <c r="F21" i="41"/>
  <c r="H20" i="41"/>
  <c r="N20" i="41" s="1"/>
  <c r="G20" i="41"/>
  <c r="L20" i="41" s="1"/>
  <c r="F20" i="41"/>
  <c r="H19" i="41"/>
  <c r="N19" i="41" s="1"/>
  <c r="G19" i="41"/>
  <c r="L19" i="41" s="1"/>
  <c r="F19" i="41"/>
  <c r="H18" i="41"/>
  <c r="N18" i="41" s="1"/>
  <c r="G18" i="41"/>
  <c r="L18" i="41" s="1"/>
  <c r="F18" i="41"/>
  <c r="H17" i="41"/>
  <c r="N17" i="41" s="1"/>
  <c r="G17" i="41"/>
  <c r="L17" i="41" s="1"/>
  <c r="F17" i="41"/>
  <c r="H16" i="41"/>
  <c r="N16" i="41" s="1"/>
  <c r="G16" i="41"/>
  <c r="L16" i="41" s="1"/>
  <c r="F16" i="41"/>
  <c r="H15" i="41"/>
  <c r="N15" i="41" s="1"/>
  <c r="G15" i="41"/>
  <c r="L15" i="41" s="1"/>
  <c r="F15" i="41"/>
  <c r="H14" i="41"/>
  <c r="N14" i="41" s="1"/>
  <c r="G14" i="41"/>
  <c r="L14" i="41" s="1"/>
  <c r="F14" i="41"/>
  <c r="A14" i="41"/>
  <c r="A15" i="41" s="1"/>
  <c r="A16" i="41" s="1"/>
  <c r="A17" i="41" s="1"/>
  <c r="A18" i="41" s="1"/>
  <c r="A19" i="41" s="1"/>
  <c r="A20" i="41" s="1"/>
  <c r="A21" i="41" s="1"/>
  <c r="A22" i="41" s="1"/>
  <c r="A23" i="41" s="1"/>
  <c r="A24" i="41" s="1"/>
  <c r="A25" i="41" s="1"/>
  <c r="A26" i="41" s="1"/>
  <c r="A27" i="41" s="1"/>
  <c r="H13" i="41"/>
  <c r="N13" i="41" s="1"/>
  <c r="N28" i="41" s="1"/>
  <c r="G13" i="41"/>
  <c r="L13" i="41" s="1"/>
  <c r="F13" i="41"/>
  <c r="A20" i="18"/>
  <c r="A21" i="18"/>
  <c r="A22" i="18"/>
  <c r="A23" i="18"/>
  <c r="A24" i="18"/>
  <c r="A25" i="18"/>
  <c r="A26" i="18"/>
  <c r="A27" i="18"/>
  <c r="A19" i="18"/>
  <c r="G27" i="18"/>
  <c r="H26" i="18"/>
  <c r="N26" i="18" s="1"/>
  <c r="G26" i="18"/>
  <c r="L26" i="18" s="1"/>
  <c r="H25" i="18"/>
  <c r="N25" i="18" s="1"/>
  <c r="G25" i="18"/>
  <c r="L25" i="18" s="1"/>
  <c r="H24" i="18"/>
  <c r="N24" i="18" s="1"/>
  <c r="G24" i="18"/>
  <c r="L24" i="18" s="1"/>
  <c r="H23" i="18"/>
  <c r="N23" i="18" s="1"/>
  <c r="G23" i="18"/>
  <c r="L23" i="18" s="1"/>
  <c r="H22" i="18"/>
  <c r="N22" i="18" s="1"/>
  <c r="G22" i="18"/>
  <c r="L22" i="18" s="1"/>
  <c r="H21" i="18"/>
  <c r="N21" i="18" s="1"/>
  <c r="G21" i="18"/>
  <c r="L21" i="18" s="1"/>
  <c r="H20" i="18"/>
  <c r="N20" i="18" s="1"/>
  <c r="G20" i="18"/>
  <c r="L20" i="18" s="1"/>
  <c r="H19" i="18"/>
  <c r="N19" i="18" s="1"/>
  <c r="G19" i="18"/>
  <c r="L19" i="18" s="1"/>
  <c r="F25" i="18"/>
  <c r="F24" i="18"/>
  <c r="F19" i="18"/>
  <c r="L28" i="41" l="1"/>
  <c r="I13" i="41"/>
  <c r="J13" i="41"/>
  <c r="I14" i="41"/>
  <c r="J14" i="41"/>
  <c r="I15" i="41"/>
  <c r="J15" i="41"/>
  <c r="I16" i="41"/>
  <c r="J16" i="41"/>
  <c r="I17" i="41"/>
  <c r="J17" i="41"/>
  <c r="I18" i="41"/>
  <c r="J18" i="41"/>
  <c r="I19" i="41"/>
  <c r="J19" i="41"/>
  <c r="I20" i="41"/>
  <c r="J20" i="41"/>
  <c r="I21" i="41"/>
  <c r="J21" i="41"/>
  <c r="I22" i="41"/>
  <c r="J22" i="41"/>
  <c r="I23" i="41"/>
  <c r="J23" i="41"/>
  <c r="I24" i="41"/>
  <c r="J24" i="41"/>
  <c r="I25" i="41"/>
  <c r="J25" i="41"/>
  <c r="I26" i="41"/>
  <c r="J26" i="41"/>
  <c r="I27" i="41"/>
  <c r="J27" i="41"/>
  <c r="I26" i="18"/>
  <c r="J26" i="18"/>
  <c r="I25" i="18"/>
  <c r="J25" i="18"/>
  <c r="I24" i="18"/>
  <c r="J24" i="18"/>
  <c r="I23" i="18"/>
  <c r="J23" i="18"/>
  <c r="I22" i="18"/>
  <c r="J22" i="18"/>
  <c r="I21" i="18"/>
  <c r="J21" i="18"/>
  <c r="I20" i="18"/>
  <c r="J20" i="18"/>
  <c r="I19" i="18"/>
  <c r="J19" i="18"/>
  <c r="P27" i="41" l="1"/>
  <c r="K27" i="41"/>
  <c r="M27" i="41" s="1"/>
  <c r="O27" i="41" s="1"/>
  <c r="P26" i="41"/>
  <c r="K26" i="41"/>
  <c r="M26" i="41" s="1"/>
  <c r="O26" i="41" s="1"/>
  <c r="P25" i="41"/>
  <c r="K25" i="41"/>
  <c r="M25" i="41" s="1"/>
  <c r="O25" i="41" s="1"/>
  <c r="P24" i="41"/>
  <c r="K24" i="41"/>
  <c r="M24" i="41" s="1"/>
  <c r="O24" i="41" s="1"/>
  <c r="P23" i="41"/>
  <c r="K23" i="41"/>
  <c r="M23" i="41" s="1"/>
  <c r="O23" i="41" s="1"/>
  <c r="P22" i="41"/>
  <c r="K22" i="41"/>
  <c r="M22" i="41" s="1"/>
  <c r="O22" i="41" s="1"/>
  <c r="P21" i="41"/>
  <c r="K21" i="41"/>
  <c r="M21" i="41" s="1"/>
  <c r="O21" i="41" s="1"/>
  <c r="P20" i="41"/>
  <c r="K20" i="41"/>
  <c r="M20" i="41" s="1"/>
  <c r="O20" i="41" s="1"/>
  <c r="P19" i="41"/>
  <c r="K19" i="41"/>
  <c r="M19" i="41" s="1"/>
  <c r="O19" i="41" s="1"/>
  <c r="P18" i="41"/>
  <c r="K18" i="41"/>
  <c r="M18" i="41" s="1"/>
  <c r="O18" i="41" s="1"/>
  <c r="P17" i="41"/>
  <c r="K17" i="41"/>
  <c r="M17" i="41" s="1"/>
  <c r="O17" i="41" s="1"/>
  <c r="P16" i="41"/>
  <c r="K16" i="41"/>
  <c r="M16" i="41" s="1"/>
  <c r="O16" i="41" s="1"/>
  <c r="P15" i="41"/>
  <c r="K15" i="41"/>
  <c r="M15" i="41" s="1"/>
  <c r="O15" i="41" s="1"/>
  <c r="P14" i="41"/>
  <c r="K14" i="41"/>
  <c r="M14" i="41" s="1"/>
  <c r="O14" i="41" s="1"/>
  <c r="P13" i="41"/>
  <c r="P28" i="41" s="1"/>
  <c r="K13" i="41"/>
  <c r="M13" i="41" s="1"/>
  <c r="P26" i="18"/>
  <c r="K26" i="18"/>
  <c r="M26" i="18" s="1"/>
  <c r="O26" i="18" s="1"/>
  <c r="P25" i="18"/>
  <c r="K25" i="18"/>
  <c r="M25" i="18" s="1"/>
  <c r="O25" i="18" s="1"/>
  <c r="P24" i="18"/>
  <c r="K24" i="18"/>
  <c r="M24" i="18" s="1"/>
  <c r="O24" i="18" s="1"/>
  <c r="P23" i="18"/>
  <c r="K23" i="18"/>
  <c r="M23" i="18" s="1"/>
  <c r="O23" i="18" s="1"/>
  <c r="P22" i="18"/>
  <c r="K22" i="18"/>
  <c r="M22" i="18" s="1"/>
  <c r="O22" i="18" s="1"/>
  <c r="P21" i="18"/>
  <c r="K21" i="18"/>
  <c r="M21" i="18" s="1"/>
  <c r="O21" i="18" s="1"/>
  <c r="P20" i="18"/>
  <c r="K20" i="18"/>
  <c r="M20" i="18" s="1"/>
  <c r="O20" i="18" s="1"/>
  <c r="P19" i="18"/>
  <c r="K19" i="18"/>
  <c r="M19" i="18" s="1"/>
  <c r="O19" i="18" s="1"/>
  <c r="M28" i="41" l="1"/>
  <c r="O13" i="41"/>
  <c r="O28" i="41" s="1"/>
  <c r="L33" i="41" l="1"/>
  <c r="J5" i="41"/>
  <c r="L31" i="41"/>
  <c r="J3" i="41"/>
  <c r="A14" i="18" l="1"/>
  <c r="A15" i="18"/>
  <c r="A16" i="18" s="1"/>
  <c r="A17" i="18" s="1"/>
  <c r="A18" i="18" s="1"/>
  <c r="H27" i="18" l="1"/>
  <c r="N27" i="18" s="1"/>
  <c r="L27" i="18"/>
  <c r="H18" i="18"/>
  <c r="N18" i="18" s="1"/>
  <c r="G18" i="18"/>
  <c r="L18" i="18" s="1"/>
  <c r="H17" i="18"/>
  <c r="N17" i="18" s="1"/>
  <c r="G17" i="18"/>
  <c r="L17" i="18" s="1"/>
  <c r="H16" i="18"/>
  <c r="N16" i="18" s="1"/>
  <c r="G16" i="18"/>
  <c r="L16" i="18" s="1"/>
  <c r="F27" i="18"/>
  <c r="F26" i="18"/>
  <c r="F23" i="18"/>
  <c r="F22" i="18"/>
  <c r="F21" i="18"/>
  <c r="F20" i="18"/>
  <c r="F18" i="18"/>
  <c r="F17" i="18"/>
  <c r="F16" i="18"/>
  <c r="F15" i="18"/>
  <c r="F14" i="18"/>
  <c r="F13" i="18"/>
  <c r="I16" i="18" l="1"/>
  <c r="J16" i="18"/>
  <c r="I17" i="18"/>
  <c r="J17" i="18"/>
  <c r="I18" i="18"/>
  <c r="J18" i="18"/>
  <c r="I27" i="18"/>
  <c r="J27" i="18"/>
  <c r="H13" i="18"/>
  <c r="I13" i="18" s="1"/>
  <c r="G15" i="18"/>
  <c r="L15" i="18" s="1"/>
  <c r="J15" i="18"/>
  <c r="G14" i="18"/>
  <c r="L14" i="18" s="1"/>
  <c r="J14" i="18"/>
  <c r="G13" i="18"/>
  <c r="L13" i="18" s="1"/>
  <c r="J13" i="18"/>
  <c r="P27" i="18" l="1"/>
  <c r="K27" i="18"/>
  <c r="M27" i="18" s="1"/>
  <c r="O27" i="18" s="1"/>
  <c r="P18" i="18"/>
  <c r="K18" i="18"/>
  <c r="M18" i="18" s="1"/>
  <c r="O18" i="18" s="1"/>
  <c r="P17" i="18"/>
  <c r="K17" i="18"/>
  <c r="M17" i="18" s="1"/>
  <c r="O17" i="18" s="1"/>
  <c r="P16" i="18"/>
  <c r="K16" i="18"/>
  <c r="M16" i="18" s="1"/>
  <c r="O16" i="18" s="1"/>
  <c r="K13" i="18"/>
  <c r="L28" i="18"/>
  <c r="H14" i="18"/>
  <c r="H15" i="18"/>
  <c r="N15" i="18" l="1"/>
  <c r="I15" i="18"/>
  <c r="K15" i="18" s="1"/>
  <c r="N14" i="18"/>
  <c r="I14" i="18"/>
  <c r="K14" i="18" s="1"/>
  <c r="N13" i="18"/>
  <c r="N28" i="18" s="1"/>
  <c r="P13" i="18" l="1"/>
  <c r="M13" i="18"/>
  <c r="P14" i="18"/>
  <c r="M14" i="18"/>
  <c r="O14" i="18" s="1"/>
  <c r="P15" i="18"/>
  <c r="M15" i="18"/>
  <c r="O15" i="18" s="1"/>
  <c r="M28" i="18" l="1"/>
  <c r="O13" i="18"/>
  <c r="O28" i="18" s="1"/>
  <c r="P28" i="18"/>
  <c r="L33" i="18" l="1"/>
  <c r="J5" i="18"/>
  <c r="L31" i="18"/>
  <c r="J3" i="18"/>
</calcChain>
</file>

<file path=xl/sharedStrings.xml><?xml version="1.0" encoding="utf-8"?>
<sst xmlns="http://schemas.openxmlformats.org/spreadsheetml/2006/main" count="116" uniqueCount="45">
  <si>
    <t>Soil Properties:</t>
  </si>
  <si>
    <t>c=</t>
  </si>
  <si>
    <t>kPa</t>
  </si>
  <si>
    <t>φ=</t>
  </si>
  <si>
    <r>
      <t>γ</t>
    </r>
    <r>
      <rPr>
        <vertAlign val="subscript"/>
        <sz val="10"/>
        <rFont val="Arial"/>
        <family val="2"/>
        <charset val="161"/>
      </rPr>
      <t>sat</t>
    </r>
    <r>
      <rPr>
        <sz val="10"/>
        <rFont val="Arial"/>
        <family val="2"/>
        <charset val="161"/>
      </rPr>
      <t>=</t>
    </r>
  </si>
  <si>
    <r>
      <t>(</t>
    </r>
    <r>
      <rPr>
        <vertAlign val="superscript"/>
        <sz val="10"/>
        <rFont val="Arial"/>
        <family val="2"/>
        <charset val="161"/>
      </rPr>
      <t>ο</t>
    </r>
    <r>
      <rPr>
        <sz val="10"/>
        <rFont val="Arial"/>
        <family val="2"/>
        <charset val="161"/>
      </rPr>
      <t>)</t>
    </r>
  </si>
  <si>
    <r>
      <t>kN/m</t>
    </r>
    <r>
      <rPr>
        <vertAlign val="superscript"/>
        <sz val="10"/>
        <rFont val="Arial"/>
        <family val="2"/>
        <charset val="161"/>
      </rPr>
      <t>3</t>
    </r>
  </si>
  <si>
    <r>
      <t>γ</t>
    </r>
    <r>
      <rPr>
        <vertAlign val="subscript"/>
        <sz val="10"/>
        <rFont val="Arial"/>
        <family val="2"/>
        <charset val="161"/>
      </rPr>
      <t>dry</t>
    </r>
    <r>
      <rPr>
        <sz val="10"/>
        <rFont val="Arial"/>
        <family val="2"/>
        <charset val="161"/>
      </rPr>
      <t>=</t>
    </r>
  </si>
  <si>
    <t>Water Properties</t>
  </si>
  <si>
    <r>
      <t>γ</t>
    </r>
    <r>
      <rPr>
        <vertAlign val="subscript"/>
        <sz val="10"/>
        <rFont val="Arial"/>
        <family val="2"/>
        <charset val="161"/>
      </rPr>
      <t>w</t>
    </r>
    <r>
      <rPr>
        <sz val="10"/>
        <rFont val="Arial"/>
        <family val="2"/>
        <charset val="161"/>
      </rPr>
      <t>=</t>
    </r>
  </si>
  <si>
    <t>Slice geometry:</t>
  </si>
  <si>
    <t>b: slice width</t>
  </si>
  <si>
    <t>z: slice midheight</t>
  </si>
  <si>
    <r>
      <t>z</t>
    </r>
    <r>
      <rPr>
        <vertAlign val="subscript"/>
        <sz val="10"/>
        <rFont val="Arial"/>
        <family val="2"/>
        <charset val="161"/>
      </rPr>
      <t>w</t>
    </r>
    <r>
      <rPr>
        <sz val="10"/>
        <rFont val="Arial"/>
        <family val="2"/>
        <charset val="161"/>
      </rPr>
      <t>: water midheight</t>
    </r>
  </si>
  <si>
    <t>Slice No</t>
  </si>
  <si>
    <t>b</t>
  </si>
  <si>
    <t>[m]</t>
  </si>
  <si>
    <t>z</t>
  </si>
  <si>
    <t>W</t>
  </si>
  <si>
    <t>kN</t>
  </si>
  <si>
    <t>c*l</t>
  </si>
  <si>
    <t>N'tanφ</t>
  </si>
  <si>
    <t>FOS=</t>
  </si>
  <si>
    <t>α: slice inclination</t>
  </si>
  <si>
    <t>β: surface inclination</t>
  </si>
  <si>
    <t>θ: interslice force inclination</t>
  </si>
  <si>
    <t>α</t>
  </si>
  <si>
    <t>(ο)</t>
  </si>
  <si>
    <t>l=b/cosα</t>
  </si>
  <si>
    <t>zw</t>
  </si>
  <si>
    <t>ru</t>
  </si>
  <si>
    <t>N=Wcosα</t>
  </si>
  <si>
    <r>
      <t>U=γ</t>
    </r>
    <r>
      <rPr>
        <vertAlign val="subscript"/>
        <sz val="10"/>
        <rFont val="Arial"/>
        <family val="2"/>
        <charset val="161"/>
      </rPr>
      <t>w</t>
    </r>
    <r>
      <rPr>
        <sz val="10"/>
        <rFont val="Arial"/>
        <family val="2"/>
        <charset val="161"/>
      </rPr>
      <t>z</t>
    </r>
    <r>
      <rPr>
        <vertAlign val="subscript"/>
        <sz val="10"/>
        <rFont val="Arial"/>
        <family val="2"/>
        <charset val="161"/>
      </rPr>
      <t>w</t>
    </r>
    <r>
      <rPr>
        <sz val="10"/>
        <rFont val="Arial"/>
        <family val="2"/>
        <charset val="161"/>
      </rPr>
      <t>l</t>
    </r>
  </si>
  <si>
    <t>N'=N-U</t>
  </si>
  <si>
    <t>Conventional</t>
  </si>
  <si>
    <t>Morgenstern - Price</t>
  </si>
  <si>
    <t>(c*l+N'tanφ)cosα</t>
  </si>
  <si>
    <t>Slices input data</t>
  </si>
  <si>
    <t>Calculations</t>
  </si>
  <si>
    <t>Sums</t>
  </si>
  <si>
    <t>Wsinα</t>
  </si>
  <si>
    <t>Nsinα</t>
  </si>
  <si>
    <t>Factors of Safety</t>
  </si>
  <si>
    <t>Conventional Method</t>
  </si>
  <si>
    <t>Morgestern and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</si>
</sst>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6" x14ac:knownFonts="1">
    <font>
      <sz val="10"/>
      <name val="Arial"/>
      <charset val="161"/>
    </font>
    <font>
      <sz val="10"/>
      <name val="Arial"/>
      <family val="2"/>
      <charset val="161"/>
    </font>
    <font>
      <vertAlign val="subscript"/>
      <sz val="10"/>
      <name val="Arial"/>
      <family val="2"/>
      <charset val="161"/>
    </font>
    <font>
      <vertAlign val="superscript"/>
      <sz val="10"/>
      <name val="Arial"/>
      <family val="2"/>
      <charset val="161"/>
    </font>
    <font>
      <b/>
      <sz val="10"/>
      <name val="Arial"/>
      <family val="2"/>
      <charset val="161"/>
    </font>
    <font>
      <sz val="10"/>
      <name val="Arial"/>
      <family val="2"/>
      <charset val="161"/>
    </font>
  </fonts>
  <fills count="3">
    <fill>
      <patternFill patternType="none"/>
    </fill>
    <fill>
      <patternFill patternType="gray125"/>
    </fill>
    <fill>
      <patternFill patternType="gray125">
        <fgColor indexed="45"/>
        <bgColor indexed="9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2" borderId="1" xfId="0" applyFont="1" applyFill="1" applyBorder="1" applyAlignment="1" applyProtection="1">
      <alignment horizontal="center" vertical="center"/>
      <protection locked="0"/>
    </xf>
    <xf numFmtId="2" fontId="1" fillId="0" borderId="0" xfId="0" applyNumberFormat="1" applyFont="1" applyAlignment="1">
      <alignment horizontal="center"/>
    </xf>
    <xf numFmtId="2" fontId="1" fillId="2" borderId="3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164" fontId="1" fillId="0" borderId="0" xfId="0" applyNumberFormat="1" applyFont="1" applyFill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0" xfId="0" applyFont="1"/>
    <xf numFmtId="2" fontId="5" fillId="2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/>
    <xf numFmtId="0" fontId="0" fillId="0" borderId="0" xfId="0" applyFill="1"/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7" xfId="0" applyFont="1" applyFill="1" applyBorder="1"/>
    <xf numFmtId="2" fontId="1" fillId="0" borderId="0" xfId="0" applyNumberFormat="1" applyFont="1" applyFill="1" applyBorder="1" applyAlignment="1">
      <alignment horizontal="left"/>
    </xf>
    <xf numFmtId="2" fontId="5" fillId="0" borderId="0" xfId="0" applyNumberFormat="1" applyFont="1" applyFill="1" applyBorder="1" applyAlignment="1">
      <alignment horizontal="left"/>
    </xf>
    <xf numFmtId="165" fontId="0" fillId="0" borderId="0" xfId="0" applyNumberFormat="1"/>
    <xf numFmtId="2" fontId="1" fillId="0" borderId="8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165" fontId="0" fillId="0" borderId="2" xfId="0" applyNumberFormat="1" applyBorder="1"/>
    <xf numFmtId="0" fontId="0" fillId="0" borderId="2" xfId="0" applyBorder="1"/>
    <xf numFmtId="165" fontId="0" fillId="0" borderId="0" xfId="0" applyNumberFormat="1" applyBorder="1"/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0</xdr:colOff>
      <xdr:row>27</xdr:row>
      <xdr:rowOff>76200</xdr:rowOff>
    </xdr:from>
    <xdr:to>
      <xdr:col>30</xdr:col>
      <xdr:colOff>600075</xdr:colOff>
      <xdr:row>32</xdr:row>
      <xdr:rowOff>123825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92125" y="5448300"/>
          <a:ext cx="608647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0</xdr:colOff>
      <xdr:row>27</xdr:row>
      <xdr:rowOff>76200</xdr:rowOff>
    </xdr:from>
    <xdr:to>
      <xdr:col>30</xdr:col>
      <xdr:colOff>600075</xdr:colOff>
      <xdr:row>32</xdr:row>
      <xdr:rowOff>123825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92125" y="4638675"/>
          <a:ext cx="608647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3"/>
  <sheetViews>
    <sheetView workbookViewId="0">
      <selection activeCell="B3" sqref="B3:B8"/>
    </sheetView>
  </sheetViews>
  <sheetFormatPr defaultRowHeight="12.75" x14ac:dyDescent="0.2"/>
  <cols>
    <col min="7" max="7" width="9.140625" customWidth="1"/>
    <col min="15" max="15" width="15" bestFit="1" customWidth="1"/>
  </cols>
  <sheetData>
    <row r="1" spans="1:21" x14ac:dyDescent="0.2">
      <c r="A1" t="s">
        <v>0</v>
      </c>
      <c r="E1" t="s">
        <v>10</v>
      </c>
      <c r="F1" s="12"/>
      <c r="G1" s="13"/>
      <c r="I1" s="10" t="s">
        <v>42</v>
      </c>
    </row>
    <row r="2" spans="1:21" ht="13.5" thickBot="1" x14ac:dyDescent="0.25">
      <c r="A2" t="s">
        <v>1</v>
      </c>
      <c r="B2">
        <v>0</v>
      </c>
      <c r="C2" t="s">
        <v>2</v>
      </c>
      <c r="E2" t="s">
        <v>11</v>
      </c>
      <c r="F2" s="13"/>
      <c r="G2" s="13"/>
      <c r="I2" s="10" t="s">
        <v>43</v>
      </c>
    </row>
    <row r="3" spans="1:21" ht="15" thickBot="1" x14ac:dyDescent="0.25">
      <c r="A3" t="s">
        <v>3</v>
      </c>
      <c r="B3" s="23">
        <v>19.2</v>
      </c>
      <c r="C3" t="s">
        <v>5</v>
      </c>
      <c r="E3" t="s">
        <v>12</v>
      </c>
      <c r="F3" s="13"/>
      <c r="G3" s="13"/>
      <c r="I3" s="10" t="s">
        <v>22</v>
      </c>
      <c r="J3" s="22">
        <f>(L28+M28)/N28</f>
        <v>1.0020972768544691</v>
      </c>
    </row>
    <row r="4" spans="1:21" ht="15.75" x14ac:dyDescent="0.3">
      <c r="A4" t="s">
        <v>4</v>
      </c>
      <c r="B4">
        <v>20.5</v>
      </c>
      <c r="C4" t="s">
        <v>6</v>
      </c>
      <c r="E4" t="s">
        <v>13</v>
      </c>
      <c r="F4" s="13"/>
      <c r="G4" s="13"/>
      <c r="I4" s="10" t="s">
        <v>44</v>
      </c>
      <c r="J4" s="19"/>
    </row>
    <row r="5" spans="1:21" ht="15.75" x14ac:dyDescent="0.3">
      <c r="A5" t="s">
        <v>7</v>
      </c>
      <c r="B5">
        <v>20</v>
      </c>
      <c r="C5" t="s">
        <v>6</v>
      </c>
      <c r="E5" t="s">
        <v>23</v>
      </c>
      <c r="F5" s="12"/>
      <c r="G5" s="13"/>
      <c r="I5" s="10" t="s">
        <v>22</v>
      </c>
      <c r="J5" s="19">
        <f>O28/P28</f>
        <v>1.0488745743721064</v>
      </c>
    </row>
    <row r="6" spans="1:21" x14ac:dyDescent="0.2">
      <c r="E6" t="s">
        <v>24</v>
      </c>
      <c r="F6" s="12"/>
      <c r="G6" s="13"/>
    </row>
    <row r="7" spans="1:21" x14ac:dyDescent="0.2">
      <c r="A7" t="s">
        <v>8</v>
      </c>
      <c r="E7" t="s">
        <v>25</v>
      </c>
      <c r="F7" s="12"/>
      <c r="G7" s="13"/>
    </row>
    <row r="8" spans="1:21" ht="15.75" x14ac:dyDescent="0.3">
      <c r="A8" t="s">
        <v>9</v>
      </c>
      <c r="B8">
        <v>9.81</v>
      </c>
      <c r="C8" t="s">
        <v>6</v>
      </c>
      <c r="F8" s="13"/>
      <c r="G8" s="13"/>
    </row>
    <row r="10" spans="1:21" x14ac:dyDescent="0.2">
      <c r="B10" s="25" t="s">
        <v>37</v>
      </c>
      <c r="C10" s="26"/>
      <c r="D10" s="26"/>
      <c r="E10" s="26"/>
      <c r="F10" s="27"/>
      <c r="G10" s="28" t="s">
        <v>38</v>
      </c>
      <c r="H10" s="29"/>
      <c r="I10" s="29"/>
      <c r="J10" s="29"/>
      <c r="K10" s="29"/>
      <c r="L10" s="29"/>
      <c r="M10" s="29"/>
      <c r="N10" s="29"/>
      <c r="O10" s="29"/>
      <c r="P10" s="30"/>
    </row>
    <row r="11" spans="1:21" s="1" customFormat="1" ht="15.75" x14ac:dyDescent="0.3">
      <c r="A11" s="1" t="s">
        <v>14</v>
      </c>
      <c r="B11" s="14" t="s">
        <v>15</v>
      </c>
      <c r="C11" s="14" t="s">
        <v>17</v>
      </c>
      <c r="D11" s="14" t="s">
        <v>29</v>
      </c>
      <c r="E11" s="14" t="s">
        <v>26</v>
      </c>
      <c r="F11" s="14" t="s">
        <v>30</v>
      </c>
      <c r="G11" s="14" t="s">
        <v>28</v>
      </c>
      <c r="H11" s="14" t="s">
        <v>18</v>
      </c>
      <c r="I11" s="14" t="s">
        <v>31</v>
      </c>
      <c r="J11" s="14" t="s">
        <v>32</v>
      </c>
      <c r="K11" s="14" t="s">
        <v>33</v>
      </c>
      <c r="L11" s="14" t="s">
        <v>20</v>
      </c>
      <c r="M11" s="14" t="s">
        <v>21</v>
      </c>
      <c r="N11" s="14" t="s">
        <v>40</v>
      </c>
      <c r="O11" s="14" t="s">
        <v>36</v>
      </c>
      <c r="P11" s="14" t="s">
        <v>41</v>
      </c>
      <c r="Q11" s="2"/>
      <c r="R11" s="2"/>
      <c r="S11" s="2"/>
      <c r="T11" s="2"/>
      <c r="U11" s="2"/>
    </row>
    <row r="12" spans="1:21" s="1" customFormat="1" x14ac:dyDescent="0.2">
      <c r="B12" s="15" t="s">
        <v>16</v>
      </c>
      <c r="C12" s="15" t="s">
        <v>16</v>
      </c>
      <c r="D12" s="15" t="s">
        <v>16</v>
      </c>
      <c r="E12" s="15" t="s">
        <v>27</v>
      </c>
      <c r="F12" s="16"/>
      <c r="G12" s="15" t="s">
        <v>16</v>
      </c>
      <c r="H12" s="15" t="s">
        <v>19</v>
      </c>
      <c r="I12" s="15" t="s">
        <v>19</v>
      </c>
      <c r="J12" s="15" t="s">
        <v>19</v>
      </c>
      <c r="K12" s="15" t="s">
        <v>19</v>
      </c>
      <c r="L12" s="15" t="s">
        <v>19</v>
      </c>
      <c r="M12" s="15" t="s">
        <v>19</v>
      </c>
      <c r="N12" s="15" t="s">
        <v>19</v>
      </c>
      <c r="O12" s="15"/>
      <c r="P12" s="15" t="s">
        <v>19</v>
      </c>
      <c r="Q12" s="2"/>
      <c r="R12" s="2"/>
      <c r="S12" s="2"/>
      <c r="T12" s="2"/>
      <c r="U12" s="2"/>
    </row>
    <row r="13" spans="1:21" s="1" customFormat="1" x14ac:dyDescent="0.2">
      <c r="A13" s="1">
        <v>1</v>
      </c>
      <c r="B13" s="5">
        <v>25.1</v>
      </c>
      <c r="C13" s="6">
        <v>14.98</v>
      </c>
      <c r="D13" s="6">
        <v>0</v>
      </c>
      <c r="E13" s="3">
        <v>50.39</v>
      </c>
      <c r="F13" s="3">
        <f t="shared" ref="F13:F27" si="0">IF(C13=0,#N/A,D13/C13)</f>
        <v>0</v>
      </c>
      <c r="G13" s="21">
        <f t="shared" ref="G13:G15" si="1">B13/COS(RADIANS(E13))</f>
        <v>39.368938812598941</v>
      </c>
      <c r="H13" s="21">
        <f>($B$4*D13+$B$5*(C13-D13))*B13</f>
        <v>7519.9600000000009</v>
      </c>
      <c r="I13" s="21">
        <f t="shared" ref="I13:I15" si="2">H13*COS(RADIANS(E13))</f>
        <v>4794.4141166333775</v>
      </c>
      <c r="J13" s="21">
        <f t="shared" ref="J13:J15" si="3">$B$8*D13*G13</f>
        <v>0</v>
      </c>
      <c r="K13" s="21">
        <f>I13-J13</f>
        <v>4794.4141166333775</v>
      </c>
      <c r="L13" s="21">
        <f t="shared" ref="L13:L15" si="4">$B$2*G13</f>
        <v>0</v>
      </c>
      <c r="M13" s="21">
        <f t="shared" ref="M13:M15" si="5">K13*TAN(RADIANS($B$3))</f>
        <v>1669.591640901444</v>
      </c>
      <c r="N13" s="21">
        <f t="shared" ref="N13:N15" si="6">H13*SIN(RADIANS(E13))</f>
        <v>5793.3920702664864</v>
      </c>
      <c r="O13" s="21">
        <f t="shared" ref="O13:O15" si="7">(L13+M13)*COS(RADIANS(E13))</f>
        <v>1064.4622753513272</v>
      </c>
      <c r="P13" s="21">
        <f>I13*SIN(RADIANS(E13))</f>
        <v>3693.6261263194892</v>
      </c>
      <c r="Q13" s="4"/>
      <c r="R13" s="4"/>
      <c r="S13" s="4"/>
      <c r="T13" s="4"/>
      <c r="U13" s="4"/>
    </row>
    <row r="14" spans="1:21" s="1" customFormat="1" x14ac:dyDescent="0.2">
      <c r="A14" s="1">
        <f>A13+1</f>
        <v>2</v>
      </c>
      <c r="B14" s="5">
        <v>7.27</v>
      </c>
      <c r="C14" s="6">
        <v>32.46</v>
      </c>
      <c r="D14" s="6">
        <v>4.9800000000000004</v>
      </c>
      <c r="E14" s="3">
        <v>50.39</v>
      </c>
      <c r="F14" s="3">
        <f t="shared" si="0"/>
        <v>0.15341959334565619</v>
      </c>
      <c r="G14" s="21">
        <f t="shared" si="1"/>
        <v>11.402875903091406</v>
      </c>
      <c r="H14" s="21">
        <f t="shared" ref="H14:H15" si="8">($B$4*D14+$B$5*(C14-D14))*B14</f>
        <v>4737.7862999999998</v>
      </c>
      <c r="I14" s="21">
        <f t="shared" si="2"/>
        <v>3020.6157370933106</v>
      </c>
      <c r="J14" s="21">
        <f t="shared" si="3"/>
        <v>557.07381879444699</v>
      </c>
      <c r="K14" s="21">
        <f t="shared" ref="K14:K15" si="9">I14-J14</f>
        <v>2463.5419182988635</v>
      </c>
      <c r="L14" s="21">
        <f t="shared" si="4"/>
        <v>0</v>
      </c>
      <c r="M14" s="21">
        <f t="shared" si="5"/>
        <v>857.89606273942445</v>
      </c>
      <c r="N14" s="21">
        <f t="shared" si="6"/>
        <v>3649.9999442865642</v>
      </c>
      <c r="O14" s="21">
        <f t="shared" si="7"/>
        <v>546.95889257417457</v>
      </c>
      <c r="P14" s="21">
        <f t="shared" ref="P14:P15" si="10">I14*SIN(RADIANS(E14))</f>
        <v>2327.0883433686536</v>
      </c>
      <c r="Q14" s="4"/>
      <c r="R14" s="4"/>
      <c r="S14" s="4"/>
      <c r="T14" s="4"/>
      <c r="U14" s="4"/>
    </row>
    <row r="15" spans="1:21" s="1" customFormat="1" x14ac:dyDescent="0.2">
      <c r="A15" s="1">
        <f>A14+1</f>
        <v>3</v>
      </c>
      <c r="B15" s="5">
        <v>18.89</v>
      </c>
      <c r="C15" s="6">
        <v>33.81</v>
      </c>
      <c r="D15" s="6">
        <v>7.8</v>
      </c>
      <c r="E15" s="3">
        <v>20.309999999999999</v>
      </c>
      <c r="F15" s="3">
        <f t="shared" si="0"/>
        <v>0.23070097604259093</v>
      </c>
      <c r="G15" s="21">
        <f t="shared" si="1"/>
        <v>20.142278301444613</v>
      </c>
      <c r="H15" s="21">
        <f t="shared" si="8"/>
        <v>12847.089</v>
      </c>
      <c r="I15" s="21">
        <f t="shared" si="2"/>
        <v>12048.364518555718</v>
      </c>
      <c r="J15" s="21">
        <f t="shared" si="3"/>
        <v>1541.2468510699389</v>
      </c>
      <c r="K15" s="21">
        <f t="shared" si="9"/>
        <v>10507.11766748578</v>
      </c>
      <c r="L15" s="21">
        <f t="shared" si="4"/>
        <v>0</v>
      </c>
      <c r="M15" s="21">
        <f t="shared" si="5"/>
        <v>3658.9654962722516</v>
      </c>
      <c r="N15" s="21">
        <f t="shared" si="6"/>
        <v>4459.2160972449692</v>
      </c>
      <c r="O15" s="21">
        <f t="shared" si="7"/>
        <v>3431.4816422542267</v>
      </c>
      <c r="P15" s="21">
        <f t="shared" si="10"/>
        <v>4181.9793578622202</v>
      </c>
      <c r="Q15" s="4"/>
      <c r="R15" s="4"/>
      <c r="S15" s="4"/>
      <c r="T15" s="4"/>
      <c r="U15" s="4"/>
    </row>
    <row r="16" spans="1:21" s="1" customFormat="1" x14ac:dyDescent="0.2">
      <c r="A16" s="1">
        <f t="shared" ref="A16:A27" si="11">A15+1</f>
        <v>4</v>
      </c>
      <c r="B16" s="5">
        <v>17.89</v>
      </c>
      <c r="C16" s="6">
        <v>32.270000000000003</v>
      </c>
      <c r="D16" s="6">
        <v>4.91</v>
      </c>
      <c r="E16" s="3">
        <v>20.309999999999999</v>
      </c>
      <c r="F16" s="3">
        <f t="shared" si="0"/>
        <v>0.15215370312984194</v>
      </c>
      <c r="G16" s="21">
        <f t="shared" ref="G16:G27" si="12">B16/COS(RADIANS(E16))</f>
        <v>19.075985114496778</v>
      </c>
      <c r="H16" s="21">
        <f t="shared" ref="H16:H27" si="13">($B$4*D16+$B$5*(C16-D16))*B16</f>
        <v>11590.125950000001</v>
      </c>
      <c r="I16" s="21">
        <f t="shared" ref="I16:I27" si="14">H16*COS(RADIANS(E16))</f>
        <v>10869.548911941989</v>
      </c>
      <c r="J16" s="21">
        <f t="shared" ref="J16:J27" si="15">$B$8*D16*G16</f>
        <v>918.83488260847787</v>
      </c>
      <c r="K16" s="21">
        <f t="shared" ref="K16:K27" si="16">I16-J16</f>
        <v>9950.7140293335106</v>
      </c>
      <c r="L16" s="21">
        <f t="shared" ref="L16:L27" si="17">$B$2*G16</f>
        <v>0</v>
      </c>
      <c r="M16" s="21">
        <f t="shared" ref="M16:M27" si="18">K16*TAN(RADIANS($B$3))</f>
        <v>3465.2052493208475</v>
      </c>
      <c r="N16" s="21">
        <f t="shared" ref="N16:N27" si="19">H16*SIN(RADIANS(E16))</f>
        <v>4022.9250537095722</v>
      </c>
      <c r="O16" s="21">
        <f t="shared" ref="O16:O27" si="20">(L16+M16)*COS(RADIANS(E16))</f>
        <v>3249.7677859498226</v>
      </c>
      <c r="P16" s="21">
        <f t="shared" ref="P16:P27" si="21">I16*SIN(RADIANS(E16))</f>
        <v>3772.8132402541355</v>
      </c>
      <c r="Q16" s="4"/>
      <c r="R16" s="4"/>
      <c r="S16" s="4"/>
      <c r="T16" s="4"/>
      <c r="U16" s="4"/>
    </row>
    <row r="17" spans="1:21" s="1" customFormat="1" x14ac:dyDescent="0.2">
      <c r="A17" s="1">
        <f t="shared" si="11"/>
        <v>5</v>
      </c>
      <c r="B17" s="5">
        <v>22.22</v>
      </c>
      <c r="C17" s="6">
        <v>34.32</v>
      </c>
      <c r="D17" s="6">
        <v>1.83</v>
      </c>
      <c r="E17" s="3">
        <v>20.309999999999999</v>
      </c>
      <c r="F17" s="3">
        <f t="shared" si="0"/>
        <v>5.332167832167832E-2</v>
      </c>
      <c r="G17" s="21">
        <f t="shared" si="12"/>
        <v>23.693034613980902</v>
      </c>
      <c r="H17" s="21">
        <f t="shared" si="13"/>
        <v>15272.139300000001</v>
      </c>
      <c r="I17" s="21">
        <f t="shared" si="14"/>
        <v>14322.645485258206</v>
      </c>
      <c r="J17" s="21">
        <f t="shared" si="15"/>
        <v>425.34446530056937</v>
      </c>
      <c r="K17" s="21">
        <f t="shared" si="16"/>
        <v>13897.301019957637</v>
      </c>
      <c r="L17" s="21">
        <f t="shared" si="17"/>
        <v>0</v>
      </c>
      <c r="M17" s="21">
        <f t="shared" si="18"/>
        <v>4839.5522475862654</v>
      </c>
      <c r="N17" s="21">
        <f t="shared" si="19"/>
        <v>5300.9494529015501</v>
      </c>
      <c r="O17" s="21">
        <f t="shared" si="20"/>
        <v>4538.6693892690346</v>
      </c>
      <c r="P17" s="21">
        <f t="shared" si="21"/>
        <v>4971.3807776217927</v>
      </c>
      <c r="Q17" s="4"/>
      <c r="R17" s="4"/>
      <c r="S17" s="4"/>
      <c r="T17" s="4"/>
      <c r="U17" s="4"/>
    </row>
    <row r="18" spans="1:21" s="1" customFormat="1" x14ac:dyDescent="0.2">
      <c r="A18" s="1">
        <f t="shared" si="11"/>
        <v>6</v>
      </c>
      <c r="B18" s="5">
        <v>21.64</v>
      </c>
      <c r="C18" s="6">
        <v>34.799999999999997</v>
      </c>
      <c r="D18" s="6">
        <v>1.36</v>
      </c>
      <c r="E18" s="3">
        <v>20.309999999999999</v>
      </c>
      <c r="F18" s="3">
        <f t="shared" si="0"/>
        <v>3.9080459770114949E-2</v>
      </c>
      <c r="G18" s="21">
        <f t="shared" si="12"/>
        <v>23.074584565551159</v>
      </c>
      <c r="H18" s="21">
        <f t="shared" si="13"/>
        <v>15076.155199999999</v>
      </c>
      <c r="I18" s="21">
        <f t="shared" si="14"/>
        <v>14138.846036477156</v>
      </c>
      <c r="J18" s="21">
        <f t="shared" si="15"/>
        <v>307.8518774397574</v>
      </c>
      <c r="K18" s="21">
        <f t="shared" si="16"/>
        <v>13830.994159037398</v>
      </c>
      <c r="L18" s="21">
        <f t="shared" si="17"/>
        <v>0</v>
      </c>
      <c r="M18" s="21">
        <f t="shared" si="18"/>
        <v>4816.4617556025269</v>
      </c>
      <c r="N18" s="21">
        <f t="shared" si="19"/>
        <v>5232.9235013786747</v>
      </c>
      <c r="O18" s="21">
        <f t="shared" si="20"/>
        <v>4517.0144708409871</v>
      </c>
      <c r="P18" s="21">
        <f t="shared" si="21"/>
        <v>4907.5841104803721</v>
      </c>
      <c r="Q18" s="4"/>
      <c r="R18" s="4"/>
      <c r="S18" s="4"/>
      <c r="T18" s="4"/>
      <c r="U18" s="4"/>
    </row>
    <row r="19" spans="1:21" s="1" customFormat="1" x14ac:dyDescent="0.2">
      <c r="A19" s="1">
        <f t="shared" si="11"/>
        <v>7</v>
      </c>
      <c r="B19" s="5">
        <v>21.64</v>
      </c>
      <c r="C19" s="6">
        <v>31.11</v>
      </c>
      <c r="D19" s="6">
        <v>0</v>
      </c>
      <c r="E19" s="3">
        <v>20.309999999999999</v>
      </c>
      <c r="F19" s="3">
        <f t="shared" si="0"/>
        <v>0</v>
      </c>
      <c r="G19" s="21">
        <f t="shared" ref="G19:G26" si="22">B19/COS(RADIANS(E19))</f>
        <v>23.074584565551159</v>
      </c>
      <c r="H19" s="21">
        <f t="shared" ref="H19:H26" si="23">($B$4*D19+$B$5*(C19-D19))*B19</f>
        <v>13464.408000000001</v>
      </c>
      <c r="I19" s="21">
        <f t="shared" ref="I19:I26" si="24">H19*COS(RADIANS(E19))</f>
        <v>12627.303789252006</v>
      </c>
      <c r="J19" s="21">
        <f t="shared" ref="J19:J26" si="25">$B$8*D19*G19</f>
        <v>0</v>
      </c>
      <c r="K19" s="21">
        <f t="shared" ref="K19:K26" si="26">I19-J19</f>
        <v>12627.303789252006</v>
      </c>
      <c r="L19" s="21">
        <f t="shared" ref="L19:L26" si="27">$B$2*G19</f>
        <v>0</v>
      </c>
      <c r="M19" s="21">
        <f t="shared" ref="M19:M26" si="28">K19*TAN(RADIANS($B$3))</f>
        <v>4397.2924200511698</v>
      </c>
      <c r="N19" s="21">
        <f t="shared" ref="N19:N26" si="29">H19*SIN(RADIANS(E19))</f>
        <v>4673.487113965969</v>
      </c>
      <c r="O19" s="21">
        <f t="shared" ref="O19:O26" si="30">(L19+M19)*COS(RADIANS(E19))</f>
        <v>4123.905576699789</v>
      </c>
      <c r="P19" s="21">
        <f t="shared" ref="P19:P26" si="31">I19*SIN(RADIANS(E19))</f>
        <v>4382.928795919056</v>
      </c>
      <c r="Q19" s="4"/>
      <c r="R19" s="4"/>
      <c r="S19" s="4"/>
      <c r="T19" s="4"/>
      <c r="U19" s="4"/>
    </row>
    <row r="20" spans="1:21" s="1" customFormat="1" x14ac:dyDescent="0.2">
      <c r="A20" s="1">
        <f t="shared" si="11"/>
        <v>8</v>
      </c>
      <c r="B20" s="5">
        <v>4.7300000000000004</v>
      </c>
      <c r="C20" s="6">
        <v>30.24</v>
      </c>
      <c r="D20" s="6">
        <v>1.02</v>
      </c>
      <c r="E20" s="3">
        <v>20.309999999999999</v>
      </c>
      <c r="F20" s="3">
        <f t="shared" si="0"/>
        <v>3.3730158730158735E-2</v>
      </c>
      <c r="G20" s="21">
        <f t="shared" si="22"/>
        <v>5.0435667742632626</v>
      </c>
      <c r="H20" s="21">
        <f t="shared" si="23"/>
        <v>2863.1163000000001</v>
      </c>
      <c r="I20" s="21">
        <f t="shared" si="24"/>
        <v>2685.1116888361657</v>
      </c>
      <c r="J20" s="21">
        <f t="shared" si="25"/>
        <v>50.466937856633066</v>
      </c>
      <c r="K20" s="21">
        <f t="shared" si="26"/>
        <v>2634.6447509795325</v>
      </c>
      <c r="L20" s="21">
        <f t="shared" si="27"/>
        <v>0</v>
      </c>
      <c r="M20" s="21">
        <f t="shared" si="28"/>
        <v>917.48037319502635</v>
      </c>
      <c r="N20" s="21">
        <f t="shared" si="29"/>
        <v>993.78577460189297</v>
      </c>
      <c r="O20" s="21">
        <f t="shared" si="30"/>
        <v>860.43912164648464</v>
      </c>
      <c r="P20" s="21">
        <f t="shared" si="31"/>
        <v>932.00049176578887</v>
      </c>
      <c r="Q20" s="4"/>
      <c r="R20" s="4"/>
      <c r="S20" s="4"/>
      <c r="T20" s="4"/>
      <c r="U20" s="4"/>
    </row>
    <row r="21" spans="1:21" s="1" customFormat="1" x14ac:dyDescent="0.2">
      <c r="A21" s="1">
        <f t="shared" si="11"/>
        <v>9</v>
      </c>
      <c r="B21" s="5">
        <v>8.69</v>
      </c>
      <c r="C21" s="6">
        <v>32.549999999999997</v>
      </c>
      <c r="D21" s="11">
        <v>1.9</v>
      </c>
      <c r="E21" s="3">
        <v>14.91</v>
      </c>
      <c r="F21" s="3">
        <f t="shared" si="0"/>
        <v>5.8371735791090631E-2</v>
      </c>
      <c r="G21" s="21">
        <f t="shared" si="22"/>
        <v>8.9927761017381354</v>
      </c>
      <c r="H21" s="21">
        <f t="shared" si="23"/>
        <v>5665.4454999999998</v>
      </c>
      <c r="I21" s="21">
        <f t="shared" si="24"/>
        <v>5474.6966718635676</v>
      </c>
      <c r="J21" s="21">
        <f t="shared" si="25"/>
        <v>167.6163537602971</v>
      </c>
      <c r="K21" s="21">
        <f t="shared" si="26"/>
        <v>5307.0803181032707</v>
      </c>
      <c r="L21" s="21">
        <f t="shared" si="27"/>
        <v>0</v>
      </c>
      <c r="M21" s="21">
        <f t="shared" si="28"/>
        <v>1848.1209009370516</v>
      </c>
      <c r="N21" s="21">
        <f t="shared" si="29"/>
        <v>1457.7273629030306</v>
      </c>
      <c r="O21" s="21">
        <f t="shared" si="30"/>
        <v>1785.896862931887</v>
      </c>
      <c r="P21" s="21">
        <f t="shared" si="31"/>
        <v>1408.6474121354936</v>
      </c>
      <c r="Q21" s="4"/>
      <c r="R21" s="4"/>
      <c r="S21" s="4"/>
      <c r="T21" s="4"/>
      <c r="U21" s="4"/>
    </row>
    <row r="22" spans="1:21" s="1" customFormat="1" x14ac:dyDescent="0.2">
      <c r="A22" s="1">
        <f t="shared" si="11"/>
        <v>10</v>
      </c>
      <c r="B22" s="5">
        <v>41.07</v>
      </c>
      <c r="C22" s="6">
        <v>29.49</v>
      </c>
      <c r="D22" s="11">
        <v>2.2000000000000002</v>
      </c>
      <c r="E22" s="3">
        <v>14.91</v>
      </c>
      <c r="F22" s="3">
        <f t="shared" si="0"/>
        <v>7.4601559850796889E-2</v>
      </c>
      <c r="G22" s="21">
        <f t="shared" si="22"/>
        <v>42.500956789227295</v>
      </c>
      <c r="H22" s="21">
        <f t="shared" si="23"/>
        <v>24268.262999999999</v>
      </c>
      <c r="I22" s="21">
        <f t="shared" si="24"/>
        <v>23451.179378216551</v>
      </c>
      <c r="J22" s="21">
        <f t="shared" si="25"/>
        <v>917.25564942510368</v>
      </c>
      <c r="K22" s="21">
        <f t="shared" si="26"/>
        <v>22533.923728791448</v>
      </c>
      <c r="L22" s="21">
        <f t="shared" si="27"/>
        <v>0</v>
      </c>
      <c r="M22" s="21">
        <f t="shared" si="28"/>
        <v>7847.1424827021956</v>
      </c>
      <c r="N22" s="21">
        <f t="shared" si="29"/>
        <v>6244.2593482237526</v>
      </c>
      <c r="O22" s="21">
        <f t="shared" si="30"/>
        <v>7582.9385056636638</v>
      </c>
      <c r="P22" s="21">
        <f t="shared" si="31"/>
        <v>6034.022544559567</v>
      </c>
      <c r="Q22" s="4"/>
      <c r="R22" s="4"/>
      <c r="S22" s="4"/>
      <c r="T22" s="4"/>
      <c r="U22" s="4"/>
    </row>
    <row r="23" spans="1:21" s="1" customFormat="1" x14ac:dyDescent="0.2">
      <c r="A23" s="1">
        <f t="shared" si="11"/>
        <v>11</v>
      </c>
      <c r="B23" s="5">
        <v>32</v>
      </c>
      <c r="C23" s="6">
        <v>24.43</v>
      </c>
      <c r="D23" s="11">
        <v>0.77</v>
      </c>
      <c r="E23" s="3">
        <v>14.91</v>
      </c>
      <c r="F23" s="3">
        <f t="shared" si="0"/>
        <v>3.151862464183381E-2</v>
      </c>
      <c r="G23" s="21">
        <f t="shared" si="22"/>
        <v>33.114940765894168</v>
      </c>
      <c r="H23" s="21">
        <f t="shared" si="23"/>
        <v>15647.52</v>
      </c>
      <c r="I23" s="21">
        <f t="shared" si="24"/>
        <v>15120.686566823142</v>
      </c>
      <c r="J23" s="21">
        <f t="shared" si="25"/>
        <v>250.14032806333481</v>
      </c>
      <c r="K23" s="21">
        <f t="shared" si="26"/>
        <v>14870.546238759807</v>
      </c>
      <c r="L23" s="21">
        <f t="shared" si="27"/>
        <v>0</v>
      </c>
      <c r="M23" s="21">
        <f t="shared" si="28"/>
        <v>5178.4720910395081</v>
      </c>
      <c r="N23" s="21">
        <f t="shared" si="29"/>
        <v>4026.1296425095666</v>
      </c>
      <c r="O23" s="21">
        <f t="shared" si="30"/>
        <v>5004.1190798062335</v>
      </c>
      <c r="P23" s="21">
        <f t="shared" si="31"/>
        <v>3890.5746343051715</v>
      </c>
      <c r="Q23" s="4"/>
      <c r="R23" s="4"/>
      <c r="S23" s="4"/>
      <c r="T23" s="4"/>
      <c r="U23" s="4"/>
    </row>
    <row r="24" spans="1:21" s="1" customFormat="1" x14ac:dyDescent="0.2">
      <c r="A24" s="1">
        <f t="shared" si="11"/>
        <v>12</v>
      </c>
      <c r="B24" s="5">
        <v>32</v>
      </c>
      <c r="C24" s="6">
        <v>23.11</v>
      </c>
      <c r="D24" s="11">
        <v>1.51</v>
      </c>
      <c r="E24" s="3">
        <v>14.91</v>
      </c>
      <c r="F24" s="3">
        <f t="shared" si="0"/>
        <v>6.5339679792297711E-2</v>
      </c>
      <c r="G24" s="21">
        <f t="shared" si="22"/>
        <v>33.114940765894168</v>
      </c>
      <c r="H24" s="21">
        <f t="shared" si="23"/>
        <v>14814.559999999998</v>
      </c>
      <c r="I24" s="21">
        <f t="shared" si="24"/>
        <v>14315.771341745874</v>
      </c>
      <c r="J24" s="21">
        <f t="shared" si="25"/>
        <v>490.53492905926691</v>
      </c>
      <c r="K24" s="21">
        <f t="shared" si="26"/>
        <v>13825.236412686607</v>
      </c>
      <c r="L24" s="21">
        <f t="shared" si="27"/>
        <v>0</v>
      </c>
      <c r="M24" s="21">
        <f t="shared" si="28"/>
        <v>4814.4566961846594</v>
      </c>
      <c r="N24" s="21">
        <f t="shared" si="29"/>
        <v>3811.8078236510651</v>
      </c>
      <c r="O24" s="21">
        <f t="shared" si="30"/>
        <v>4652.3596514048941</v>
      </c>
      <c r="P24" s="21">
        <f t="shared" si="31"/>
        <v>3683.4687768024587</v>
      </c>
      <c r="Q24" s="4"/>
      <c r="R24" s="4"/>
      <c r="S24" s="4"/>
      <c r="T24" s="4"/>
      <c r="U24" s="4"/>
    </row>
    <row r="25" spans="1:21" s="1" customFormat="1" x14ac:dyDescent="0.2">
      <c r="A25" s="1">
        <f t="shared" si="11"/>
        <v>13</v>
      </c>
      <c r="B25" s="5">
        <v>34.24</v>
      </c>
      <c r="C25" s="6">
        <v>21.74</v>
      </c>
      <c r="D25" s="11">
        <v>2.09</v>
      </c>
      <c r="E25" s="3">
        <v>14.91</v>
      </c>
      <c r="F25" s="3">
        <f t="shared" si="0"/>
        <v>9.6136154553817854E-2</v>
      </c>
      <c r="G25" s="21">
        <f t="shared" si="22"/>
        <v>35.432986619506764</v>
      </c>
      <c r="H25" s="21">
        <f t="shared" si="23"/>
        <v>14923.332800000002</v>
      </c>
      <c r="I25" s="21">
        <f t="shared" si="24"/>
        <v>14420.881890624918</v>
      </c>
      <c r="J25" s="21">
        <f t="shared" si="25"/>
        <v>726.47898136108529</v>
      </c>
      <c r="K25" s="21">
        <f t="shared" si="26"/>
        <v>13694.402909263832</v>
      </c>
      <c r="L25" s="21">
        <f t="shared" si="27"/>
        <v>0</v>
      </c>
      <c r="M25" s="21">
        <f t="shared" si="28"/>
        <v>4768.8956498606294</v>
      </c>
      <c r="N25" s="21">
        <f t="shared" si="29"/>
        <v>3839.7952232120679</v>
      </c>
      <c r="O25" s="21">
        <f t="shared" si="30"/>
        <v>4608.332591454041</v>
      </c>
      <c r="P25" s="21">
        <f t="shared" si="31"/>
        <v>3710.5138738262917</v>
      </c>
      <c r="Q25" s="4"/>
      <c r="R25" s="4"/>
      <c r="S25" s="4"/>
      <c r="T25" s="4"/>
      <c r="U25" s="4"/>
    </row>
    <row r="26" spans="1:21" s="1" customFormat="1" x14ac:dyDescent="0.2">
      <c r="A26" s="1">
        <f t="shared" si="11"/>
        <v>14</v>
      </c>
      <c r="B26" s="5">
        <v>20.29</v>
      </c>
      <c r="C26" s="6">
        <v>13.51</v>
      </c>
      <c r="D26" s="11">
        <v>0</v>
      </c>
      <c r="E26" s="3">
        <v>-23.48</v>
      </c>
      <c r="F26" s="3">
        <f t="shared" si="0"/>
        <v>0</v>
      </c>
      <c r="G26" s="21">
        <f t="shared" si="22"/>
        <v>22.121693759349775</v>
      </c>
      <c r="H26" s="21">
        <f t="shared" si="23"/>
        <v>5482.3579999999993</v>
      </c>
      <c r="I26" s="21">
        <f t="shared" si="24"/>
        <v>5028.4144166395681</v>
      </c>
      <c r="J26" s="21">
        <f t="shared" si="25"/>
        <v>0</v>
      </c>
      <c r="K26" s="21">
        <f t="shared" si="26"/>
        <v>5028.4144166395681</v>
      </c>
      <c r="L26" s="21">
        <f t="shared" si="27"/>
        <v>0</v>
      </c>
      <c r="M26" s="21">
        <f t="shared" si="28"/>
        <v>1751.0791668753377</v>
      </c>
      <c r="N26" s="21">
        <f t="shared" si="29"/>
        <v>-2184.3300333730117</v>
      </c>
      <c r="O26" s="21">
        <f t="shared" si="30"/>
        <v>1606.0884253441957</v>
      </c>
      <c r="P26" s="21">
        <f t="shared" si="31"/>
        <v>-2003.4657770455055</v>
      </c>
      <c r="Q26" s="4"/>
      <c r="R26" s="4"/>
      <c r="S26" s="4"/>
      <c r="T26" s="4"/>
      <c r="U26" s="4"/>
    </row>
    <row r="27" spans="1:21" s="1" customFormat="1" x14ac:dyDescent="0.2">
      <c r="A27" s="1">
        <f t="shared" si="11"/>
        <v>15</v>
      </c>
      <c r="B27" s="5">
        <v>13.94</v>
      </c>
      <c r="C27" s="6">
        <v>2.99</v>
      </c>
      <c r="D27" s="11">
        <v>0</v>
      </c>
      <c r="E27" s="3">
        <v>-23.48</v>
      </c>
      <c r="F27" s="3">
        <f t="shared" si="0"/>
        <v>0</v>
      </c>
      <c r="G27" s="21">
        <f t="shared" si="12"/>
        <v>15.198443124954947</v>
      </c>
      <c r="H27" s="21">
        <f t="shared" si="13"/>
        <v>833.61200000000008</v>
      </c>
      <c r="I27" s="21">
        <f t="shared" si="14"/>
        <v>764.58826634155309</v>
      </c>
      <c r="J27" s="21">
        <f t="shared" si="15"/>
        <v>0</v>
      </c>
      <c r="K27" s="21">
        <f t="shared" si="16"/>
        <v>764.58826634155309</v>
      </c>
      <c r="L27" s="21">
        <f t="shared" si="17"/>
        <v>0</v>
      </c>
      <c r="M27" s="21">
        <f t="shared" si="18"/>
        <v>266.25780484552166</v>
      </c>
      <c r="N27" s="21">
        <f t="shared" si="19"/>
        <v>-332.13513743176634</v>
      </c>
      <c r="O27" s="21">
        <f t="shared" si="20"/>
        <v>244.21144777995636</v>
      </c>
      <c r="P27" s="21">
        <f t="shared" si="21"/>
        <v>-304.63408506603514</v>
      </c>
      <c r="Q27" s="4"/>
      <c r="R27" s="4"/>
      <c r="S27" s="4"/>
      <c r="T27" s="4"/>
      <c r="U27" s="4"/>
    </row>
    <row r="28" spans="1:21" s="1" customFormat="1" ht="13.5" thickBot="1" x14ac:dyDescent="0.25">
      <c r="K28" s="10" t="s">
        <v>39</v>
      </c>
      <c r="L28" s="20">
        <f>SUM(L13:L27)</f>
        <v>0</v>
      </c>
      <c r="M28" s="20">
        <f>ROUND(SUM(M13:M27),2)</f>
        <v>51096.87</v>
      </c>
      <c r="N28" s="20">
        <f>ROUND(SUM(N13:N27),2)</f>
        <v>50989.93</v>
      </c>
      <c r="O28" s="20">
        <f>ROUND(SUM(O13:O27),2)</f>
        <v>47816.65</v>
      </c>
      <c r="P28" s="20">
        <f>ROUND(SUM(P13:P27),2)</f>
        <v>45588.53</v>
      </c>
      <c r="Q28" s="8"/>
      <c r="R28" s="8"/>
      <c r="S28" s="8"/>
      <c r="T28" s="8"/>
      <c r="U28" s="8"/>
    </row>
    <row r="29" spans="1:21" s="1" customFormat="1" x14ac:dyDescent="0.2">
      <c r="L29" s="9"/>
      <c r="M29" s="8"/>
      <c r="N29" s="8"/>
      <c r="O29" s="4"/>
      <c r="P29" s="8"/>
      <c r="Q29" s="8"/>
      <c r="R29" s="8"/>
      <c r="S29" s="8"/>
      <c r="T29" s="8"/>
      <c r="U29" s="8"/>
    </row>
    <row r="30" spans="1:21" s="1" customFormat="1" x14ac:dyDescent="0.2">
      <c r="L30" s="9"/>
      <c r="M30" s="8"/>
      <c r="N30" s="8"/>
      <c r="O30" s="4"/>
      <c r="P30" s="8"/>
      <c r="Q30" s="8"/>
      <c r="R30" s="8"/>
      <c r="S30" s="8"/>
      <c r="T30" s="8"/>
      <c r="U30" s="8"/>
    </row>
    <row r="31" spans="1:21" s="1" customFormat="1" x14ac:dyDescent="0.2">
      <c r="J31" s="10" t="s">
        <v>34</v>
      </c>
      <c r="L31" s="17" t="str">
        <f>CONCATENATE("FOS=Σ(c'l+N'tanφ)/Σ(Wsinα)=(",L28,"+",M28,")/",N28,"=",ROUND(((L28+M28)/N28),3))</f>
        <v>FOS=Σ(c'l+N'tanφ)/Σ(Wsinα)=(0+51096.87)/50989.93=1.002</v>
      </c>
    </row>
    <row r="32" spans="1:21" s="1" customFormat="1" x14ac:dyDescent="0.2">
      <c r="J32" s="10"/>
      <c r="L32" s="10"/>
      <c r="O32" s="7"/>
    </row>
    <row r="33" spans="10:15" x14ac:dyDescent="0.2">
      <c r="J33" s="10" t="s">
        <v>35</v>
      </c>
      <c r="L33" s="18" t="str">
        <f>CONCATENATE("FOS=Σ((c*l+N'tanφ)cosα)/Σ(Nsinα)=(",O28,")/",P28,"=",ROUND((O28/P28),3))</f>
        <v>FOS=Σ((c*l+N'tanφ)cosα)/Σ(Nsinα)=(47816.65)/45588.53=1.049</v>
      </c>
      <c r="O33" s="4"/>
    </row>
  </sheetData>
  <mergeCells count="2">
    <mergeCell ref="B10:F10"/>
    <mergeCell ref="G10:P10"/>
  </mergeCell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3"/>
  <sheetViews>
    <sheetView tabSelected="1" workbookViewId="0">
      <selection activeCell="B3" sqref="B3"/>
    </sheetView>
  </sheetViews>
  <sheetFormatPr defaultRowHeight="12.75" x14ac:dyDescent="0.2"/>
  <cols>
    <col min="7" max="7" width="9.140625" customWidth="1"/>
    <col min="15" max="15" width="15" bestFit="1" customWidth="1"/>
  </cols>
  <sheetData>
    <row r="1" spans="1:21" x14ac:dyDescent="0.2">
      <c r="A1" t="s">
        <v>0</v>
      </c>
      <c r="E1" t="s">
        <v>10</v>
      </c>
      <c r="F1" s="12"/>
      <c r="G1" s="13"/>
      <c r="I1" s="10" t="s">
        <v>42</v>
      </c>
    </row>
    <row r="2" spans="1:21" ht="13.5" thickBot="1" x14ac:dyDescent="0.25">
      <c r="A2" t="s">
        <v>1</v>
      </c>
      <c r="B2">
        <v>0</v>
      </c>
      <c r="C2" t="s">
        <v>2</v>
      </c>
      <c r="E2" t="s">
        <v>11</v>
      </c>
      <c r="F2" s="13"/>
      <c r="G2" s="13"/>
      <c r="I2" s="10" t="s">
        <v>43</v>
      </c>
    </row>
    <row r="3" spans="1:21" ht="15" thickBot="1" x14ac:dyDescent="0.25">
      <c r="A3" t="s">
        <v>3</v>
      </c>
      <c r="B3" s="23">
        <v>18.399999999999999</v>
      </c>
      <c r="C3" t="s">
        <v>5</v>
      </c>
      <c r="E3" t="s">
        <v>12</v>
      </c>
      <c r="F3" s="13"/>
      <c r="G3" s="13"/>
      <c r="I3" s="10" t="s">
        <v>22</v>
      </c>
      <c r="J3" s="24">
        <f>(L28+M28)/N28</f>
        <v>0.95726058066759456</v>
      </c>
    </row>
    <row r="4" spans="1:21" ht="16.5" thickBot="1" x14ac:dyDescent="0.35">
      <c r="A4" t="s">
        <v>4</v>
      </c>
      <c r="B4">
        <v>20.5</v>
      </c>
      <c r="C4" t="s">
        <v>6</v>
      </c>
      <c r="E4" t="s">
        <v>13</v>
      </c>
      <c r="F4" s="13"/>
      <c r="G4" s="13"/>
      <c r="I4" s="10" t="s">
        <v>44</v>
      </c>
      <c r="J4" s="19"/>
    </row>
    <row r="5" spans="1:21" ht="16.5" thickBot="1" x14ac:dyDescent="0.35">
      <c r="A5" t="s">
        <v>7</v>
      </c>
      <c r="B5">
        <v>20</v>
      </c>
      <c r="C5" t="s">
        <v>6</v>
      </c>
      <c r="E5" t="s">
        <v>23</v>
      </c>
      <c r="F5" s="12"/>
      <c r="G5" s="13"/>
      <c r="I5" s="10" t="s">
        <v>22</v>
      </c>
      <c r="J5" s="22">
        <f>O28/P28</f>
        <v>1.0019447874278904</v>
      </c>
    </row>
    <row r="6" spans="1:21" x14ac:dyDescent="0.2">
      <c r="E6" t="s">
        <v>24</v>
      </c>
      <c r="F6" s="12"/>
      <c r="G6" s="13"/>
    </row>
    <row r="7" spans="1:21" x14ac:dyDescent="0.2">
      <c r="A7" t="s">
        <v>8</v>
      </c>
      <c r="E7" t="s">
        <v>25</v>
      </c>
      <c r="F7" s="12"/>
      <c r="G7" s="13"/>
    </row>
    <row r="8" spans="1:21" ht="15.75" x14ac:dyDescent="0.3">
      <c r="A8" t="s">
        <v>9</v>
      </c>
      <c r="B8">
        <v>9.81</v>
      </c>
      <c r="C8" t="s">
        <v>6</v>
      </c>
      <c r="F8" s="13"/>
      <c r="G8" s="13"/>
    </row>
    <row r="10" spans="1:21" x14ac:dyDescent="0.2">
      <c r="B10" s="25" t="s">
        <v>37</v>
      </c>
      <c r="C10" s="26"/>
      <c r="D10" s="26"/>
      <c r="E10" s="26"/>
      <c r="F10" s="27"/>
      <c r="G10" s="28" t="s">
        <v>38</v>
      </c>
      <c r="H10" s="29"/>
      <c r="I10" s="29"/>
      <c r="J10" s="29"/>
      <c r="K10" s="29"/>
      <c r="L10" s="29"/>
      <c r="M10" s="29"/>
      <c r="N10" s="29"/>
      <c r="O10" s="29"/>
      <c r="P10" s="30"/>
    </row>
    <row r="11" spans="1:21" s="1" customFormat="1" ht="15.75" x14ac:dyDescent="0.3">
      <c r="A11" s="1" t="s">
        <v>14</v>
      </c>
      <c r="B11" s="14" t="s">
        <v>15</v>
      </c>
      <c r="C11" s="14" t="s">
        <v>17</v>
      </c>
      <c r="D11" s="14" t="s">
        <v>29</v>
      </c>
      <c r="E11" s="14" t="s">
        <v>26</v>
      </c>
      <c r="F11" s="14" t="s">
        <v>30</v>
      </c>
      <c r="G11" s="14" t="s">
        <v>28</v>
      </c>
      <c r="H11" s="14" t="s">
        <v>18</v>
      </c>
      <c r="I11" s="14" t="s">
        <v>31</v>
      </c>
      <c r="J11" s="14" t="s">
        <v>32</v>
      </c>
      <c r="K11" s="14" t="s">
        <v>33</v>
      </c>
      <c r="L11" s="14" t="s">
        <v>20</v>
      </c>
      <c r="M11" s="14" t="s">
        <v>21</v>
      </c>
      <c r="N11" s="14" t="s">
        <v>40</v>
      </c>
      <c r="O11" s="14" t="s">
        <v>36</v>
      </c>
      <c r="P11" s="14" t="s">
        <v>41</v>
      </c>
      <c r="Q11" s="2"/>
      <c r="R11" s="2"/>
      <c r="S11" s="2"/>
      <c r="T11" s="2"/>
      <c r="U11" s="2"/>
    </row>
    <row r="12" spans="1:21" s="1" customFormat="1" x14ac:dyDescent="0.2">
      <c r="B12" s="15" t="s">
        <v>16</v>
      </c>
      <c r="C12" s="15" t="s">
        <v>16</v>
      </c>
      <c r="D12" s="15" t="s">
        <v>16</v>
      </c>
      <c r="E12" s="15" t="s">
        <v>27</v>
      </c>
      <c r="F12" s="16"/>
      <c r="G12" s="15" t="s">
        <v>16</v>
      </c>
      <c r="H12" s="15" t="s">
        <v>19</v>
      </c>
      <c r="I12" s="15" t="s">
        <v>19</v>
      </c>
      <c r="J12" s="15" t="s">
        <v>19</v>
      </c>
      <c r="K12" s="15" t="s">
        <v>19</v>
      </c>
      <c r="L12" s="15" t="s">
        <v>19</v>
      </c>
      <c r="M12" s="15" t="s">
        <v>19</v>
      </c>
      <c r="N12" s="15" t="s">
        <v>19</v>
      </c>
      <c r="O12" s="15"/>
      <c r="P12" s="15" t="s">
        <v>19</v>
      </c>
      <c r="Q12" s="2"/>
      <c r="R12" s="2"/>
      <c r="S12" s="2"/>
      <c r="T12" s="2"/>
      <c r="U12" s="2"/>
    </row>
    <row r="13" spans="1:21" s="1" customFormat="1" x14ac:dyDescent="0.2">
      <c r="A13" s="1">
        <v>1</v>
      </c>
      <c r="B13" s="5">
        <v>25.1</v>
      </c>
      <c r="C13" s="6">
        <v>14.98</v>
      </c>
      <c r="D13" s="6">
        <v>0</v>
      </c>
      <c r="E13" s="3">
        <v>50.39</v>
      </c>
      <c r="F13" s="3">
        <f t="shared" ref="F13:F27" si="0">IF(C13=0,#N/A,D13/C13)</f>
        <v>0</v>
      </c>
      <c r="G13" s="21">
        <f t="shared" ref="G13:G27" si="1">B13/COS(RADIANS(E13))</f>
        <v>39.368938812598941</v>
      </c>
      <c r="H13" s="21">
        <f>($B$4*D13+$B$5*(C13-D13))*B13</f>
        <v>7519.9600000000009</v>
      </c>
      <c r="I13" s="21">
        <f t="shared" ref="I13:I27" si="2">H13*COS(RADIANS(E13))</f>
        <v>4794.4141166333775</v>
      </c>
      <c r="J13" s="21">
        <f t="shared" ref="J13:J27" si="3">$B$8*D13*G13</f>
        <v>0</v>
      </c>
      <c r="K13" s="21">
        <f>I13-J13</f>
        <v>4794.4141166333775</v>
      </c>
      <c r="L13" s="21">
        <f t="shared" ref="L13:L27" si="4">$B$2*G13</f>
        <v>0</v>
      </c>
      <c r="M13" s="21">
        <f t="shared" ref="M13:M27" si="5">K13*TAN(RADIANS($B$3))</f>
        <v>1594.8893006770491</v>
      </c>
      <c r="N13" s="21">
        <f t="shared" ref="N13:N27" si="6">H13*SIN(RADIANS(E13))</f>
        <v>5793.3920702664864</v>
      </c>
      <c r="O13" s="21">
        <f t="shared" ref="O13:O27" si="7">(L13+M13)*COS(RADIANS(E13))</f>
        <v>1016.8351663617331</v>
      </c>
      <c r="P13" s="21">
        <f>I13*SIN(RADIANS(E13))</f>
        <v>3693.6261263194892</v>
      </c>
      <c r="Q13" s="4"/>
      <c r="R13" s="4"/>
      <c r="S13" s="4"/>
      <c r="T13" s="4"/>
      <c r="U13" s="4"/>
    </row>
    <row r="14" spans="1:21" s="1" customFormat="1" x14ac:dyDescent="0.2">
      <c r="A14" s="1">
        <f>A13+1</f>
        <v>2</v>
      </c>
      <c r="B14" s="5">
        <v>7.27</v>
      </c>
      <c r="C14" s="6">
        <v>32.46</v>
      </c>
      <c r="D14" s="6">
        <v>4.9800000000000004</v>
      </c>
      <c r="E14" s="3">
        <v>50.39</v>
      </c>
      <c r="F14" s="3">
        <f t="shared" si="0"/>
        <v>0.15341959334565619</v>
      </c>
      <c r="G14" s="21">
        <f t="shared" si="1"/>
        <v>11.402875903091406</v>
      </c>
      <c r="H14" s="21">
        <f t="shared" ref="H14:H27" si="8">($B$4*D14+$B$5*(C14-D14))*B14</f>
        <v>4737.7862999999998</v>
      </c>
      <c r="I14" s="21">
        <f t="shared" si="2"/>
        <v>3020.6157370933106</v>
      </c>
      <c r="J14" s="21">
        <f t="shared" si="3"/>
        <v>557.07381879444699</v>
      </c>
      <c r="K14" s="21">
        <f t="shared" ref="K14:K27" si="9">I14-J14</f>
        <v>2463.5419182988635</v>
      </c>
      <c r="L14" s="21">
        <f t="shared" si="4"/>
        <v>0</v>
      </c>
      <c r="M14" s="21">
        <f t="shared" si="5"/>
        <v>819.51132123381444</v>
      </c>
      <c r="N14" s="21">
        <f t="shared" si="6"/>
        <v>3649.9999442865642</v>
      </c>
      <c r="O14" s="21">
        <f t="shared" si="7"/>
        <v>522.48637589352472</v>
      </c>
      <c r="P14" s="21">
        <f t="shared" ref="P14:P27" si="10">I14*SIN(RADIANS(E14))</f>
        <v>2327.0883433686536</v>
      </c>
      <c r="Q14" s="4"/>
      <c r="R14" s="4"/>
      <c r="S14" s="4"/>
      <c r="T14" s="4"/>
      <c r="U14" s="4"/>
    </row>
    <row r="15" spans="1:21" s="1" customFormat="1" x14ac:dyDescent="0.2">
      <c r="A15" s="1">
        <f>A14+1</f>
        <v>3</v>
      </c>
      <c r="B15" s="5">
        <v>18.89</v>
      </c>
      <c r="C15" s="6">
        <v>33.81</v>
      </c>
      <c r="D15" s="6">
        <v>7.8</v>
      </c>
      <c r="E15" s="3">
        <v>20.309999999999999</v>
      </c>
      <c r="F15" s="3">
        <f t="shared" si="0"/>
        <v>0.23070097604259093</v>
      </c>
      <c r="G15" s="21">
        <f t="shared" si="1"/>
        <v>20.142278301444613</v>
      </c>
      <c r="H15" s="21">
        <f t="shared" si="8"/>
        <v>12847.089</v>
      </c>
      <c r="I15" s="21">
        <f t="shared" si="2"/>
        <v>12048.364518555718</v>
      </c>
      <c r="J15" s="21">
        <f t="shared" si="3"/>
        <v>1541.2468510699389</v>
      </c>
      <c r="K15" s="21">
        <f t="shared" si="9"/>
        <v>10507.11766748578</v>
      </c>
      <c r="L15" s="21">
        <f t="shared" si="4"/>
        <v>0</v>
      </c>
      <c r="M15" s="21">
        <f t="shared" si="5"/>
        <v>3495.2528382331438</v>
      </c>
      <c r="N15" s="21">
        <f t="shared" si="6"/>
        <v>4459.2160972449692</v>
      </c>
      <c r="O15" s="21">
        <f t="shared" si="7"/>
        <v>3277.9472672408028</v>
      </c>
      <c r="P15" s="21">
        <f t="shared" si="10"/>
        <v>4181.9793578622202</v>
      </c>
      <c r="Q15" s="4"/>
      <c r="R15" s="4"/>
      <c r="S15" s="4"/>
      <c r="T15" s="4"/>
      <c r="U15" s="4"/>
    </row>
    <row r="16" spans="1:21" s="1" customFormat="1" x14ac:dyDescent="0.2">
      <c r="A16" s="1">
        <f t="shared" ref="A16:A27" si="11">A15+1</f>
        <v>4</v>
      </c>
      <c r="B16" s="5">
        <v>17.89</v>
      </c>
      <c r="C16" s="6">
        <v>32.270000000000003</v>
      </c>
      <c r="D16" s="6">
        <v>4.91</v>
      </c>
      <c r="E16" s="3">
        <v>20.309999999999999</v>
      </c>
      <c r="F16" s="3">
        <f t="shared" si="0"/>
        <v>0.15215370312984194</v>
      </c>
      <c r="G16" s="21">
        <f t="shared" si="1"/>
        <v>19.075985114496778</v>
      </c>
      <c r="H16" s="21">
        <f t="shared" si="8"/>
        <v>11590.125950000001</v>
      </c>
      <c r="I16" s="21">
        <f t="shared" si="2"/>
        <v>10869.548911941989</v>
      </c>
      <c r="J16" s="21">
        <f t="shared" si="3"/>
        <v>918.83488260847787</v>
      </c>
      <c r="K16" s="21">
        <f t="shared" si="9"/>
        <v>9950.7140293335106</v>
      </c>
      <c r="L16" s="21">
        <f t="shared" si="4"/>
        <v>0</v>
      </c>
      <c r="M16" s="21">
        <f t="shared" si="5"/>
        <v>3310.161982967189</v>
      </c>
      <c r="N16" s="21">
        <f t="shared" si="6"/>
        <v>4022.9250537095722</v>
      </c>
      <c r="O16" s="21">
        <f t="shared" si="7"/>
        <v>3104.3638123978062</v>
      </c>
      <c r="P16" s="21">
        <f t="shared" si="10"/>
        <v>3772.8132402541355</v>
      </c>
      <c r="Q16" s="4"/>
      <c r="R16" s="4"/>
      <c r="S16" s="4"/>
      <c r="T16" s="4"/>
      <c r="U16" s="4"/>
    </row>
    <row r="17" spans="1:21" s="1" customFormat="1" x14ac:dyDescent="0.2">
      <c r="A17" s="1">
        <f t="shared" si="11"/>
        <v>5</v>
      </c>
      <c r="B17" s="5">
        <v>22.22</v>
      </c>
      <c r="C17" s="6">
        <v>34.32</v>
      </c>
      <c r="D17" s="6">
        <v>1.83</v>
      </c>
      <c r="E17" s="3">
        <v>20.309999999999999</v>
      </c>
      <c r="F17" s="3">
        <f t="shared" si="0"/>
        <v>5.332167832167832E-2</v>
      </c>
      <c r="G17" s="21">
        <f t="shared" si="1"/>
        <v>23.693034613980902</v>
      </c>
      <c r="H17" s="21">
        <f t="shared" si="8"/>
        <v>15272.139300000001</v>
      </c>
      <c r="I17" s="21">
        <f t="shared" si="2"/>
        <v>14322.645485258206</v>
      </c>
      <c r="J17" s="21">
        <f t="shared" si="3"/>
        <v>425.34446530056937</v>
      </c>
      <c r="K17" s="21">
        <f t="shared" si="9"/>
        <v>13897.301019957637</v>
      </c>
      <c r="L17" s="21">
        <f t="shared" si="4"/>
        <v>0</v>
      </c>
      <c r="M17" s="21">
        <f t="shared" si="5"/>
        <v>4623.0167369402434</v>
      </c>
      <c r="N17" s="21">
        <f t="shared" si="6"/>
        <v>5300.9494529015501</v>
      </c>
      <c r="O17" s="21">
        <f t="shared" si="7"/>
        <v>4335.5962445687164</v>
      </c>
      <c r="P17" s="21">
        <f t="shared" si="10"/>
        <v>4971.3807776217927</v>
      </c>
      <c r="Q17" s="4"/>
      <c r="R17" s="4"/>
      <c r="S17" s="4"/>
      <c r="T17" s="4"/>
      <c r="U17" s="4"/>
    </row>
    <row r="18" spans="1:21" s="1" customFormat="1" x14ac:dyDescent="0.2">
      <c r="A18" s="1">
        <f t="shared" si="11"/>
        <v>6</v>
      </c>
      <c r="B18" s="5">
        <v>21.64</v>
      </c>
      <c r="C18" s="6">
        <v>34.799999999999997</v>
      </c>
      <c r="D18" s="6">
        <v>1.36</v>
      </c>
      <c r="E18" s="3">
        <v>20.309999999999999</v>
      </c>
      <c r="F18" s="3">
        <f t="shared" si="0"/>
        <v>3.9080459770114949E-2</v>
      </c>
      <c r="G18" s="21">
        <f t="shared" si="1"/>
        <v>23.074584565551159</v>
      </c>
      <c r="H18" s="21">
        <f t="shared" si="8"/>
        <v>15076.155199999999</v>
      </c>
      <c r="I18" s="21">
        <f t="shared" si="2"/>
        <v>14138.846036477156</v>
      </c>
      <c r="J18" s="21">
        <f t="shared" si="3"/>
        <v>307.8518774397574</v>
      </c>
      <c r="K18" s="21">
        <f t="shared" si="9"/>
        <v>13830.994159037398</v>
      </c>
      <c r="L18" s="21">
        <f t="shared" si="4"/>
        <v>0</v>
      </c>
      <c r="M18" s="21">
        <f t="shared" si="5"/>
        <v>4600.9593800931825</v>
      </c>
      <c r="N18" s="21">
        <f t="shared" si="6"/>
        <v>5232.9235013786747</v>
      </c>
      <c r="O18" s="21">
        <f t="shared" si="7"/>
        <v>4314.910229580476</v>
      </c>
      <c r="P18" s="21">
        <f t="shared" si="10"/>
        <v>4907.5841104803721</v>
      </c>
      <c r="Q18" s="4"/>
      <c r="R18" s="4"/>
      <c r="S18" s="4"/>
      <c r="T18" s="4"/>
      <c r="U18" s="4"/>
    </row>
    <row r="19" spans="1:21" s="1" customFormat="1" x14ac:dyDescent="0.2">
      <c r="A19" s="1">
        <f t="shared" si="11"/>
        <v>7</v>
      </c>
      <c r="B19" s="5">
        <v>21.64</v>
      </c>
      <c r="C19" s="6">
        <v>31.11</v>
      </c>
      <c r="D19" s="6">
        <v>0</v>
      </c>
      <c r="E19" s="3">
        <v>20.309999999999999</v>
      </c>
      <c r="F19" s="3">
        <f t="shared" si="0"/>
        <v>0</v>
      </c>
      <c r="G19" s="21">
        <f t="shared" si="1"/>
        <v>23.074584565551159</v>
      </c>
      <c r="H19" s="21">
        <f t="shared" si="8"/>
        <v>13464.408000000001</v>
      </c>
      <c r="I19" s="21">
        <f t="shared" si="2"/>
        <v>12627.303789252006</v>
      </c>
      <c r="J19" s="21">
        <f t="shared" si="3"/>
        <v>0</v>
      </c>
      <c r="K19" s="21">
        <f t="shared" si="9"/>
        <v>12627.303789252006</v>
      </c>
      <c r="L19" s="21">
        <f t="shared" si="4"/>
        <v>0</v>
      </c>
      <c r="M19" s="21">
        <f t="shared" si="5"/>
        <v>4200.5448882706096</v>
      </c>
      <c r="N19" s="21">
        <f t="shared" si="6"/>
        <v>4673.487113965969</v>
      </c>
      <c r="O19" s="21">
        <f t="shared" si="7"/>
        <v>3939.3901599374149</v>
      </c>
      <c r="P19" s="21">
        <f t="shared" si="10"/>
        <v>4382.928795919056</v>
      </c>
      <c r="Q19" s="4"/>
      <c r="R19" s="4"/>
      <c r="S19" s="4"/>
      <c r="T19" s="4"/>
      <c r="U19" s="4"/>
    </row>
    <row r="20" spans="1:21" s="1" customFormat="1" x14ac:dyDescent="0.2">
      <c r="A20" s="1">
        <f t="shared" si="11"/>
        <v>8</v>
      </c>
      <c r="B20" s="5">
        <v>4.7300000000000004</v>
      </c>
      <c r="C20" s="6">
        <v>30.24</v>
      </c>
      <c r="D20" s="6">
        <v>1.02</v>
      </c>
      <c r="E20" s="3">
        <v>20.309999999999999</v>
      </c>
      <c r="F20" s="3">
        <f t="shared" si="0"/>
        <v>3.3730158730158735E-2</v>
      </c>
      <c r="G20" s="21">
        <f t="shared" si="1"/>
        <v>5.0435667742632626</v>
      </c>
      <c r="H20" s="21">
        <f t="shared" si="8"/>
        <v>2863.1163000000001</v>
      </c>
      <c r="I20" s="21">
        <f t="shared" si="2"/>
        <v>2685.1116888361657</v>
      </c>
      <c r="J20" s="21">
        <f t="shared" si="3"/>
        <v>50.466937856633066</v>
      </c>
      <c r="K20" s="21">
        <f t="shared" si="9"/>
        <v>2634.6447509795325</v>
      </c>
      <c r="L20" s="21">
        <f t="shared" si="4"/>
        <v>0</v>
      </c>
      <c r="M20" s="21">
        <f t="shared" si="5"/>
        <v>876.42965797306067</v>
      </c>
      <c r="N20" s="21">
        <f t="shared" si="6"/>
        <v>993.78577460189297</v>
      </c>
      <c r="O20" s="21">
        <f t="shared" si="7"/>
        <v>821.94059635864187</v>
      </c>
      <c r="P20" s="21">
        <f t="shared" si="10"/>
        <v>932.00049176578887</v>
      </c>
      <c r="Q20" s="4"/>
      <c r="R20" s="4"/>
      <c r="S20" s="4"/>
      <c r="T20" s="4"/>
      <c r="U20" s="4"/>
    </row>
    <row r="21" spans="1:21" s="1" customFormat="1" x14ac:dyDescent="0.2">
      <c r="A21" s="1">
        <f t="shared" si="11"/>
        <v>9</v>
      </c>
      <c r="B21" s="5">
        <v>8.69</v>
      </c>
      <c r="C21" s="6">
        <v>32.549999999999997</v>
      </c>
      <c r="D21" s="11">
        <v>1.9</v>
      </c>
      <c r="E21" s="3">
        <v>14.91</v>
      </c>
      <c r="F21" s="3">
        <f t="shared" si="0"/>
        <v>5.8371735791090631E-2</v>
      </c>
      <c r="G21" s="21">
        <f t="shared" si="1"/>
        <v>8.9927761017381354</v>
      </c>
      <c r="H21" s="21">
        <f t="shared" si="8"/>
        <v>5665.4454999999998</v>
      </c>
      <c r="I21" s="21">
        <f t="shared" si="2"/>
        <v>5474.6966718635676</v>
      </c>
      <c r="J21" s="21">
        <f t="shared" si="3"/>
        <v>167.6163537602971</v>
      </c>
      <c r="K21" s="21">
        <f t="shared" si="9"/>
        <v>5307.0803181032707</v>
      </c>
      <c r="L21" s="21">
        <f t="shared" si="4"/>
        <v>0</v>
      </c>
      <c r="M21" s="21">
        <f t="shared" si="5"/>
        <v>1765.4306472633607</v>
      </c>
      <c r="N21" s="21">
        <f t="shared" si="6"/>
        <v>1457.7273629030306</v>
      </c>
      <c r="O21" s="21">
        <f t="shared" si="7"/>
        <v>1705.990691990359</v>
      </c>
      <c r="P21" s="21">
        <f t="shared" si="10"/>
        <v>1408.6474121354936</v>
      </c>
      <c r="Q21" s="4"/>
      <c r="R21" s="4"/>
      <c r="S21" s="4"/>
      <c r="T21" s="4"/>
      <c r="U21" s="4"/>
    </row>
    <row r="22" spans="1:21" s="1" customFormat="1" x14ac:dyDescent="0.2">
      <c r="A22" s="1">
        <f t="shared" si="11"/>
        <v>10</v>
      </c>
      <c r="B22" s="5">
        <v>41.07</v>
      </c>
      <c r="C22" s="6">
        <v>29.49</v>
      </c>
      <c r="D22" s="11">
        <v>2.2000000000000002</v>
      </c>
      <c r="E22" s="3">
        <v>14.91</v>
      </c>
      <c r="F22" s="3">
        <f t="shared" si="0"/>
        <v>7.4601559850796889E-2</v>
      </c>
      <c r="G22" s="21">
        <f t="shared" si="1"/>
        <v>42.500956789227295</v>
      </c>
      <c r="H22" s="21">
        <f t="shared" si="8"/>
        <v>24268.262999999999</v>
      </c>
      <c r="I22" s="21">
        <f t="shared" si="2"/>
        <v>23451.179378216551</v>
      </c>
      <c r="J22" s="21">
        <f t="shared" si="3"/>
        <v>917.25564942510368</v>
      </c>
      <c r="K22" s="21">
        <f t="shared" si="9"/>
        <v>22533.923728791448</v>
      </c>
      <c r="L22" s="21">
        <f t="shared" si="4"/>
        <v>0</v>
      </c>
      <c r="M22" s="21">
        <f t="shared" si="5"/>
        <v>7496.0387198589533</v>
      </c>
      <c r="N22" s="21">
        <f t="shared" si="6"/>
        <v>6244.2593482237526</v>
      </c>
      <c r="O22" s="21">
        <f t="shared" si="7"/>
        <v>7243.6559899432887</v>
      </c>
      <c r="P22" s="21">
        <f t="shared" si="10"/>
        <v>6034.022544559567</v>
      </c>
      <c r="Q22" s="4"/>
      <c r="R22" s="4"/>
      <c r="S22" s="4"/>
      <c r="T22" s="4"/>
      <c r="U22" s="4"/>
    </row>
    <row r="23" spans="1:21" s="1" customFormat="1" x14ac:dyDescent="0.2">
      <c r="A23" s="1">
        <f t="shared" si="11"/>
        <v>11</v>
      </c>
      <c r="B23" s="5">
        <v>32</v>
      </c>
      <c r="C23" s="6">
        <v>24.43</v>
      </c>
      <c r="D23" s="11">
        <v>0.77</v>
      </c>
      <c r="E23" s="3">
        <v>14.91</v>
      </c>
      <c r="F23" s="3">
        <f t="shared" si="0"/>
        <v>3.151862464183381E-2</v>
      </c>
      <c r="G23" s="21">
        <f t="shared" si="1"/>
        <v>33.114940765894168</v>
      </c>
      <c r="H23" s="21">
        <f t="shared" si="8"/>
        <v>15647.52</v>
      </c>
      <c r="I23" s="21">
        <f t="shared" si="2"/>
        <v>15120.686566823142</v>
      </c>
      <c r="J23" s="21">
        <f t="shared" si="3"/>
        <v>250.14032806333481</v>
      </c>
      <c r="K23" s="21">
        <f t="shared" si="9"/>
        <v>14870.546238759807</v>
      </c>
      <c r="L23" s="21">
        <f t="shared" si="4"/>
        <v>0</v>
      </c>
      <c r="M23" s="21">
        <f t="shared" si="5"/>
        <v>4946.7723301455799</v>
      </c>
      <c r="N23" s="21">
        <f t="shared" si="6"/>
        <v>4026.1296425095666</v>
      </c>
      <c r="O23" s="21">
        <f t="shared" si="7"/>
        <v>4780.2203749581204</v>
      </c>
      <c r="P23" s="21">
        <f t="shared" si="10"/>
        <v>3890.5746343051715</v>
      </c>
      <c r="Q23" s="4"/>
      <c r="R23" s="4"/>
      <c r="S23" s="4"/>
      <c r="T23" s="4"/>
      <c r="U23" s="4"/>
    </row>
    <row r="24" spans="1:21" s="1" customFormat="1" x14ac:dyDescent="0.2">
      <c r="A24" s="1">
        <f t="shared" si="11"/>
        <v>12</v>
      </c>
      <c r="B24" s="5">
        <v>32</v>
      </c>
      <c r="C24" s="6">
        <v>23.11</v>
      </c>
      <c r="D24" s="11">
        <v>1.51</v>
      </c>
      <c r="E24" s="3">
        <v>14.91</v>
      </c>
      <c r="F24" s="3">
        <f t="shared" si="0"/>
        <v>6.5339679792297711E-2</v>
      </c>
      <c r="G24" s="21">
        <f t="shared" si="1"/>
        <v>33.114940765894168</v>
      </c>
      <c r="H24" s="21">
        <f t="shared" si="8"/>
        <v>14814.559999999998</v>
      </c>
      <c r="I24" s="21">
        <f t="shared" si="2"/>
        <v>14315.771341745874</v>
      </c>
      <c r="J24" s="21">
        <f t="shared" si="3"/>
        <v>490.53492905926691</v>
      </c>
      <c r="K24" s="21">
        <f t="shared" si="9"/>
        <v>13825.236412686607</v>
      </c>
      <c r="L24" s="21">
        <f t="shared" si="4"/>
        <v>0</v>
      </c>
      <c r="M24" s="21">
        <f t="shared" si="5"/>
        <v>4599.0440328103869</v>
      </c>
      <c r="N24" s="21">
        <f t="shared" si="6"/>
        <v>3811.8078236510651</v>
      </c>
      <c r="O24" s="21">
        <f t="shared" si="7"/>
        <v>4444.1996768270083</v>
      </c>
      <c r="P24" s="21">
        <f t="shared" si="10"/>
        <v>3683.4687768024587</v>
      </c>
      <c r="Q24" s="4"/>
      <c r="R24" s="4"/>
      <c r="S24" s="4"/>
      <c r="T24" s="4"/>
      <c r="U24" s="4"/>
    </row>
    <row r="25" spans="1:21" s="1" customFormat="1" x14ac:dyDescent="0.2">
      <c r="A25" s="1">
        <f t="shared" si="11"/>
        <v>13</v>
      </c>
      <c r="B25" s="5">
        <v>34.24</v>
      </c>
      <c r="C25" s="6">
        <v>21.74</v>
      </c>
      <c r="D25" s="11">
        <v>2.09</v>
      </c>
      <c r="E25" s="3">
        <v>14.91</v>
      </c>
      <c r="F25" s="3">
        <f t="shared" si="0"/>
        <v>9.6136154553817854E-2</v>
      </c>
      <c r="G25" s="21">
        <f t="shared" si="1"/>
        <v>35.432986619506764</v>
      </c>
      <c r="H25" s="21">
        <f t="shared" si="8"/>
        <v>14923.332800000002</v>
      </c>
      <c r="I25" s="21">
        <f t="shared" si="2"/>
        <v>14420.881890624918</v>
      </c>
      <c r="J25" s="21">
        <f t="shared" si="3"/>
        <v>726.47898136108529</v>
      </c>
      <c r="K25" s="21">
        <f t="shared" si="9"/>
        <v>13694.402909263832</v>
      </c>
      <c r="L25" s="21">
        <f t="shared" si="4"/>
        <v>0</v>
      </c>
      <c r="M25" s="21">
        <f t="shared" si="5"/>
        <v>4555.52151896346</v>
      </c>
      <c r="N25" s="21">
        <f t="shared" si="6"/>
        <v>3839.7952232120679</v>
      </c>
      <c r="O25" s="21">
        <f t="shared" si="7"/>
        <v>4402.1425143834003</v>
      </c>
      <c r="P25" s="21">
        <f t="shared" si="10"/>
        <v>3710.5138738262917</v>
      </c>
      <c r="Q25" s="4"/>
      <c r="R25" s="4"/>
      <c r="S25" s="4"/>
      <c r="T25" s="4"/>
      <c r="U25" s="4"/>
    </row>
    <row r="26" spans="1:21" s="1" customFormat="1" x14ac:dyDescent="0.2">
      <c r="A26" s="1">
        <f t="shared" si="11"/>
        <v>14</v>
      </c>
      <c r="B26" s="5">
        <v>20.29</v>
      </c>
      <c r="C26" s="6">
        <v>13.51</v>
      </c>
      <c r="D26" s="11">
        <v>0</v>
      </c>
      <c r="E26" s="3">
        <v>-23.48</v>
      </c>
      <c r="F26" s="3">
        <f t="shared" si="0"/>
        <v>0</v>
      </c>
      <c r="G26" s="21">
        <f t="shared" si="1"/>
        <v>22.121693759349775</v>
      </c>
      <c r="H26" s="21">
        <f t="shared" si="8"/>
        <v>5482.3579999999993</v>
      </c>
      <c r="I26" s="21">
        <f t="shared" si="2"/>
        <v>5028.4144166395681</v>
      </c>
      <c r="J26" s="21">
        <f t="shared" si="3"/>
        <v>0</v>
      </c>
      <c r="K26" s="21">
        <f t="shared" si="9"/>
        <v>5028.4144166395681</v>
      </c>
      <c r="L26" s="21">
        <f t="shared" si="4"/>
        <v>0</v>
      </c>
      <c r="M26" s="21">
        <f t="shared" si="5"/>
        <v>1672.730839967601</v>
      </c>
      <c r="N26" s="21">
        <f t="shared" si="6"/>
        <v>-2184.3300333730117</v>
      </c>
      <c r="O26" s="21">
        <f t="shared" si="7"/>
        <v>1534.2274019410445</v>
      </c>
      <c r="P26" s="21">
        <f t="shared" si="10"/>
        <v>-2003.4657770455055</v>
      </c>
      <c r="Q26" s="4"/>
      <c r="R26" s="4"/>
      <c r="S26" s="4"/>
      <c r="T26" s="4"/>
      <c r="U26" s="4"/>
    </row>
    <row r="27" spans="1:21" s="1" customFormat="1" x14ac:dyDescent="0.2">
      <c r="A27" s="1">
        <f t="shared" si="11"/>
        <v>15</v>
      </c>
      <c r="B27" s="5">
        <v>13.94</v>
      </c>
      <c r="C27" s="6">
        <v>2.99</v>
      </c>
      <c r="D27" s="11">
        <v>0</v>
      </c>
      <c r="E27" s="3">
        <v>-23.48</v>
      </c>
      <c r="F27" s="3">
        <f t="shared" si="0"/>
        <v>0</v>
      </c>
      <c r="G27" s="21">
        <f t="shared" si="1"/>
        <v>15.198443124954947</v>
      </c>
      <c r="H27" s="21">
        <f t="shared" si="8"/>
        <v>833.61200000000008</v>
      </c>
      <c r="I27" s="21">
        <f t="shared" si="2"/>
        <v>764.58826634155309</v>
      </c>
      <c r="J27" s="21">
        <f t="shared" si="3"/>
        <v>0</v>
      </c>
      <c r="K27" s="21">
        <f t="shared" si="9"/>
        <v>764.58826634155309</v>
      </c>
      <c r="L27" s="21">
        <f t="shared" si="4"/>
        <v>0</v>
      </c>
      <c r="M27" s="21">
        <f t="shared" si="5"/>
        <v>254.34466354934719</v>
      </c>
      <c r="N27" s="21">
        <f t="shared" si="6"/>
        <v>-332.13513743176634</v>
      </c>
      <c r="O27" s="21">
        <f t="shared" si="7"/>
        <v>233.28472401599421</v>
      </c>
      <c r="P27" s="21">
        <f t="shared" si="10"/>
        <v>-304.63408506603514</v>
      </c>
      <c r="Q27" s="4"/>
      <c r="R27" s="4"/>
      <c r="S27" s="4"/>
      <c r="T27" s="4"/>
      <c r="U27" s="4"/>
    </row>
    <row r="28" spans="1:21" s="1" customFormat="1" ht="13.5" thickBot="1" x14ac:dyDescent="0.25">
      <c r="K28" s="10" t="s">
        <v>39</v>
      </c>
      <c r="L28" s="20">
        <f>SUM(L13:L27)</f>
        <v>0</v>
      </c>
      <c r="M28" s="20">
        <f>ROUND(SUM(M13:M27),2)</f>
        <v>48810.65</v>
      </c>
      <c r="N28" s="20">
        <f>ROUND(SUM(N13:N27),2)</f>
        <v>50989.93</v>
      </c>
      <c r="O28" s="20">
        <f>ROUND(SUM(O13:O27),2)</f>
        <v>45677.19</v>
      </c>
      <c r="P28" s="20">
        <f>ROUND(SUM(P13:P27),2)</f>
        <v>45588.53</v>
      </c>
      <c r="Q28" s="8"/>
      <c r="R28" s="8"/>
      <c r="S28" s="8"/>
      <c r="T28" s="8"/>
      <c r="U28" s="8"/>
    </row>
    <row r="29" spans="1:21" s="1" customFormat="1" x14ac:dyDescent="0.2">
      <c r="L29" s="9"/>
      <c r="M29" s="8"/>
      <c r="N29" s="8"/>
      <c r="O29" s="4"/>
      <c r="P29" s="8"/>
      <c r="Q29" s="8"/>
      <c r="R29" s="8"/>
      <c r="S29" s="8"/>
      <c r="T29" s="8"/>
      <c r="U29" s="8"/>
    </row>
    <row r="30" spans="1:21" s="1" customFormat="1" x14ac:dyDescent="0.2">
      <c r="L30" s="9"/>
      <c r="M30" s="8"/>
      <c r="N30" s="8"/>
      <c r="O30" s="4"/>
      <c r="P30" s="8"/>
      <c r="Q30" s="8"/>
      <c r="R30" s="8"/>
      <c r="S30" s="8"/>
      <c r="T30" s="8"/>
      <c r="U30" s="8"/>
    </row>
    <row r="31" spans="1:21" s="1" customFormat="1" x14ac:dyDescent="0.2">
      <c r="J31" s="10" t="s">
        <v>34</v>
      </c>
      <c r="L31" s="17" t="str">
        <f>CONCATENATE("FOS=Σ(c'l+N'tanφ)/Σ(Wsinα)=(",L28,"+",M28,")/",N28,"=",ROUND(((L28+M28)/N28),3))</f>
        <v>FOS=Σ(c'l+N'tanφ)/Σ(Wsinα)=(0+48810.65)/50989.93=0.957</v>
      </c>
    </row>
    <row r="32" spans="1:21" s="1" customFormat="1" x14ac:dyDescent="0.2">
      <c r="J32" s="10"/>
      <c r="L32" s="10"/>
      <c r="O32" s="7"/>
    </row>
    <row r="33" spans="10:15" x14ac:dyDescent="0.2">
      <c r="J33" s="10" t="s">
        <v>35</v>
      </c>
      <c r="L33" s="18" t="str">
        <f>CONCATENATE("FOS=Σ((c*l+N'tanφ)cosα)/Σ(Nsinα)=(",O28,")/",P28,"=",ROUND((O28/P28),3))</f>
        <v>FOS=Σ((c*l+N'tanφ)cosα)/Σ(Nsinα)=(45677.19)/45588.53=1.002</v>
      </c>
      <c r="O33" s="4"/>
    </row>
  </sheetData>
  <mergeCells count="2">
    <mergeCell ref="B10:F10"/>
    <mergeCell ref="G10:P10"/>
  </mergeCell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ResolvingToBase</vt:lpstr>
      <vt:lpstr>HorizontalEquilibrium</vt:lpstr>
    </vt:vector>
  </TitlesOfParts>
  <Company>KDEP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TEDE</dc:creator>
  <cp:lastModifiedBy> </cp:lastModifiedBy>
  <dcterms:created xsi:type="dcterms:W3CDTF">2012-07-24T11:21:08Z</dcterms:created>
  <dcterms:modified xsi:type="dcterms:W3CDTF">2012-09-26T19:40:19Z</dcterms:modified>
</cp:coreProperties>
</file>