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300" windowWidth="18795" windowHeight="11640"/>
  </bookViews>
  <sheets>
    <sheet name="Resolving_to_base" sheetId="18" r:id="rId1"/>
    <sheet name="HorizontalEquilibrium" sheetId="19" r:id="rId2"/>
  </sheets>
  <calcPr calcId="145621"/>
</workbook>
</file>

<file path=xl/calcChain.xml><?xml version="1.0" encoding="utf-8"?>
<calcChain xmlns="http://schemas.openxmlformats.org/spreadsheetml/2006/main">
  <c r="F14" i="19" l="1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13" i="19"/>
  <c r="H13" i="18" l="1"/>
  <c r="I13" i="18" s="1"/>
  <c r="G27" i="19"/>
  <c r="L27" i="19" s="1"/>
  <c r="J27" i="19"/>
  <c r="G26" i="19"/>
  <c r="L26" i="19" s="1"/>
  <c r="J26" i="19"/>
  <c r="G25" i="19"/>
  <c r="L25" i="19" s="1"/>
  <c r="J25" i="19"/>
  <c r="G24" i="19"/>
  <c r="L24" i="19" s="1"/>
  <c r="J24" i="19"/>
  <c r="G23" i="19"/>
  <c r="L23" i="19" s="1"/>
  <c r="J23" i="19"/>
  <c r="G22" i="19"/>
  <c r="L22" i="19" s="1"/>
  <c r="J22" i="19"/>
  <c r="G21" i="19"/>
  <c r="L21" i="19" s="1"/>
  <c r="J21" i="19"/>
  <c r="G20" i="19"/>
  <c r="L20" i="19" s="1"/>
  <c r="J20" i="19"/>
  <c r="G19" i="19"/>
  <c r="L19" i="19" s="1"/>
  <c r="J19" i="19"/>
  <c r="G18" i="19"/>
  <c r="L18" i="19" s="1"/>
  <c r="J18" i="19"/>
  <c r="G17" i="19"/>
  <c r="L17" i="19" s="1"/>
  <c r="J17" i="19"/>
  <c r="G16" i="19"/>
  <c r="L16" i="19" s="1"/>
  <c r="J16" i="19"/>
  <c r="G15" i="19"/>
  <c r="L15" i="19" s="1"/>
  <c r="J15" i="19"/>
  <c r="G14" i="19"/>
  <c r="L14" i="19" s="1"/>
  <c r="J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G13" i="19"/>
  <c r="L13" i="19" s="1"/>
  <c r="J13" i="19"/>
  <c r="G27" i="18"/>
  <c r="L27" i="18" s="1"/>
  <c r="J27" i="18"/>
  <c r="G26" i="18"/>
  <c r="L26" i="18" s="1"/>
  <c r="J26" i="18"/>
  <c r="G25" i="18"/>
  <c r="L25" i="18" s="1"/>
  <c r="J25" i="18"/>
  <c r="G24" i="18"/>
  <c r="L24" i="18" s="1"/>
  <c r="J24" i="18"/>
  <c r="G23" i="18"/>
  <c r="L23" i="18" s="1"/>
  <c r="J23" i="18"/>
  <c r="G22" i="18"/>
  <c r="L22" i="18" s="1"/>
  <c r="J22" i="18"/>
  <c r="G21" i="18"/>
  <c r="L21" i="18" s="1"/>
  <c r="J21" i="18"/>
  <c r="G20" i="18"/>
  <c r="L20" i="18" s="1"/>
  <c r="J20" i="18"/>
  <c r="G19" i="18"/>
  <c r="L19" i="18" s="1"/>
  <c r="J19" i="18"/>
  <c r="G18" i="18"/>
  <c r="L18" i="18" s="1"/>
  <c r="J18" i="18"/>
  <c r="G17" i="18"/>
  <c r="L17" i="18" s="1"/>
  <c r="J17" i="18"/>
  <c r="G16" i="18"/>
  <c r="L16" i="18" s="1"/>
  <c r="J16" i="18"/>
  <c r="G15" i="18"/>
  <c r="L15" i="18" s="1"/>
  <c r="J15" i="18"/>
  <c r="G14" i="18"/>
  <c r="L14" i="18" s="1"/>
  <c r="J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G13" i="18"/>
  <c r="L13" i="18" s="1"/>
  <c r="J13" i="18"/>
  <c r="K13" i="18" l="1"/>
  <c r="L28" i="18"/>
  <c r="F13" i="18"/>
  <c r="F14" i="18"/>
  <c r="H14" i="18"/>
  <c r="F15" i="18"/>
  <c r="H15" i="18"/>
  <c r="F16" i="18"/>
  <c r="H16" i="18"/>
  <c r="F17" i="18"/>
  <c r="H17" i="18"/>
  <c r="F18" i="18"/>
  <c r="H18" i="18"/>
  <c r="F19" i="18"/>
  <c r="H19" i="18"/>
  <c r="F20" i="18"/>
  <c r="H20" i="18"/>
  <c r="F21" i="18"/>
  <c r="H21" i="18"/>
  <c r="F22" i="18"/>
  <c r="H22" i="18"/>
  <c r="F23" i="18"/>
  <c r="H23" i="18"/>
  <c r="F24" i="18"/>
  <c r="H24" i="18"/>
  <c r="F25" i="18"/>
  <c r="H25" i="18"/>
  <c r="F26" i="18"/>
  <c r="H26" i="18"/>
  <c r="F27" i="18"/>
  <c r="H27" i="18"/>
  <c r="L28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N27" i="19" l="1"/>
  <c r="I27" i="19"/>
  <c r="K27" i="19" s="1"/>
  <c r="N26" i="19"/>
  <c r="I26" i="19"/>
  <c r="K26" i="19" s="1"/>
  <c r="N25" i="19"/>
  <c r="I25" i="19"/>
  <c r="K25" i="19" s="1"/>
  <c r="N24" i="19"/>
  <c r="I24" i="19"/>
  <c r="K24" i="19" s="1"/>
  <c r="N23" i="19"/>
  <c r="I23" i="19"/>
  <c r="K23" i="19" s="1"/>
  <c r="N22" i="19"/>
  <c r="I22" i="19"/>
  <c r="K22" i="19" s="1"/>
  <c r="N21" i="19"/>
  <c r="I21" i="19"/>
  <c r="K21" i="19" s="1"/>
  <c r="N20" i="19"/>
  <c r="I20" i="19"/>
  <c r="K20" i="19" s="1"/>
  <c r="N19" i="19"/>
  <c r="I19" i="19"/>
  <c r="K19" i="19" s="1"/>
  <c r="N18" i="19"/>
  <c r="I18" i="19"/>
  <c r="K18" i="19" s="1"/>
  <c r="N17" i="19"/>
  <c r="I17" i="19"/>
  <c r="K17" i="19" s="1"/>
  <c r="N16" i="19"/>
  <c r="I16" i="19"/>
  <c r="K16" i="19" s="1"/>
  <c r="N15" i="19"/>
  <c r="I15" i="19"/>
  <c r="K15" i="19" s="1"/>
  <c r="N14" i="19"/>
  <c r="I14" i="19"/>
  <c r="K14" i="19" s="1"/>
  <c r="N13" i="19"/>
  <c r="N28" i="19" s="1"/>
  <c r="I13" i="19"/>
  <c r="K13" i="19" s="1"/>
  <c r="N27" i="18"/>
  <c r="I27" i="18"/>
  <c r="K27" i="18" s="1"/>
  <c r="N26" i="18"/>
  <c r="I26" i="18"/>
  <c r="K26" i="18" s="1"/>
  <c r="N25" i="18"/>
  <c r="I25" i="18"/>
  <c r="K25" i="18" s="1"/>
  <c r="N24" i="18"/>
  <c r="I24" i="18"/>
  <c r="K24" i="18" s="1"/>
  <c r="N23" i="18"/>
  <c r="I23" i="18"/>
  <c r="K23" i="18" s="1"/>
  <c r="N22" i="18"/>
  <c r="I22" i="18"/>
  <c r="K22" i="18" s="1"/>
  <c r="N21" i="18"/>
  <c r="I21" i="18"/>
  <c r="K21" i="18" s="1"/>
  <c r="N20" i="18"/>
  <c r="I20" i="18"/>
  <c r="K20" i="18" s="1"/>
  <c r="N19" i="18"/>
  <c r="I19" i="18"/>
  <c r="K19" i="18" s="1"/>
  <c r="N18" i="18"/>
  <c r="I18" i="18"/>
  <c r="K18" i="18" s="1"/>
  <c r="N17" i="18"/>
  <c r="I17" i="18"/>
  <c r="K17" i="18" s="1"/>
  <c r="N16" i="18"/>
  <c r="I16" i="18"/>
  <c r="K16" i="18" s="1"/>
  <c r="N15" i="18"/>
  <c r="I15" i="18"/>
  <c r="K15" i="18" s="1"/>
  <c r="N14" i="18"/>
  <c r="I14" i="18"/>
  <c r="K14" i="18" s="1"/>
  <c r="N13" i="18"/>
  <c r="N28" i="18" s="1"/>
  <c r="P13" i="18" l="1"/>
  <c r="M13" i="18"/>
  <c r="P14" i="18"/>
  <c r="M14" i="18"/>
  <c r="O14" i="18" s="1"/>
  <c r="P15" i="18"/>
  <c r="M15" i="18"/>
  <c r="O15" i="18" s="1"/>
  <c r="P16" i="18"/>
  <c r="M16" i="18"/>
  <c r="O16" i="18" s="1"/>
  <c r="P17" i="18"/>
  <c r="M17" i="18"/>
  <c r="O17" i="18" s="1"/>
  <c r="P18" i="18"/>
  <c r="M18" i="18"/>
  <c r="O18" i="18" s="1"/>
  <c r="P19" i="18"/>
  <c r="M19" i="18"/>
  <c r="O19" i="18" s="1"/>
  <c r="P20" i="18"/>
  <c r="M20" i="18"/>
  <c r="O20" i="18" s="1"/>
  <c r="P21" i="18"/>
  <c r="M21" i="18"/>
  <c r="O21" i="18" s="1"/>
  <c r="P22" i="18"/>
  <c r="M22" i="18"/>
  <c r="O22" i="18" s="1"/>
  <c r="P23" i="18"/>
  <c r="M23" i="18"/>
  <c r="O23" i="18" s="1"/>
  <c r="P24" i="18"/>
  <c r="M24" i="18"/>
  <c r="O24" i="18" s="1"/>
  <c r="P25" i="18"/>
  <c r="M25" i="18"/>
  <c r="O25" i="18" s="1"/>
  <c r="P26" i="18"/>
  <c r="M26" i="18"/>
  <c r="O26" i="18" s="1"/>
  <c r="P27" i="18"/>
  <c r="M27" i="18"/>
  <c r="O27" i="18" s="1"/>
  <c r="P13" i="19"/>
  <c r="M13" i="19"/>
  <c r="P14" i="19"/>
  <c r="M14" i="19"/>
  <c r="O14" i="19" s="1"/>
  <c r="P15" i="19"/>
  <c r="M15" i="19"/>
  <c r="O15" i="19" s="1"/>
  <c r="P16" i="19"/>
  <c r="M16" i="19"/>
  <c r="O16" i="19" s="1"/>
  <c r="P17" i="19"/>
  <c r="M17" i="19"/>
  <c r="O17" i="19" s="1"/>
  <c r="P18" i="19"/>
  <c r="M18" i="19"/>
  <c r="O18" i="19" s="1"/>
  <c r="P19" i="19"/>
  <c r="M19" i="19"/>
  <c r="O19" i="19" s="1"/>
  <c r="P20" i="19"/>
  <c r="M20" i="19"/>
  <c r="O20" i="19" s="1"/>
  <c r="P21" i="19"/>
  <c r="M21" i="19"/>
  <c r="O21" i="19" s="1"/>
  <c r="P22" i="19"/>
  <c r="M22" i="19"/>
  <c r="O22" i="19" s="1"/>
  <c r="P23" i="19"/>
  <c r="M23" i="19"/>
  <c r="O23" i="19" s="1"/>
  <c r="P24" i="19"/>
  <c r="M24" i="19"/>
  <c r="O24" i="19" s="1"/>
  <c r="P25" i="19"/>
  <c r="M25" i="19"/>
  <c r="O25" i="19" s="1"/>
  <c r="P26" i="19"/>
  <c r="M26" i="19"/>
  <c r="O26" i="19" s="1"/>
  <c r="P27" i="19"/>
  <c r="M27" i="19"/>
  <c r="O27" i="19" s="1"/>
  <c r="M28" i="19" l="1"/>
  <c r="O13" i="19"/>
  <c r="O28" i="19" s="1"/>
  <c r="P28" i="19"/>
  <c r="M28" i="18"/>
  <c r="O13" i="18"/>
  <c r="O28" i="18" s="1"/>
  <c r="P28" i="18"/>
  <c r="L33" i="18" l="1"/>
  <c r="J5" i="18"/>
  <c r="L31" i="18"/>
  <c r="J3" i="18"/>
  <c r="L33" i="19"/>
  <c r="J5" i="19"/>
  <c r="L31" i="19"/>
  <c r="J3" i="19"/>
</calcChain>
</file>

<file path=xl/sharedStrings.xml><?xml version="1.0" encoding="utf-8"?>
<sst xmlns="http://schemas.openxmlformats.org/spreadsheetml/2006/main" count="116" uniqueCount="45">
  <si>
    <t>Soil Properties:</t>
  </si>
  <si>
    <t>c=</t>
  </si>
  <si>
    <t>kPa</t>
  </si>
  <si>
    <t>φ=</t>
  </si>
  <si>
    <r>
      <t>γ</t>
    </r>
    <r>
      <rPr>
        <vertAlign val="subscript"/>
        <sz val="10"/>
        <rFont val="Arial"/>
        <family val="2"/>
        <charset val="161"/>
      </rPr>
      <t>sat</t>
    </r>
    <r>
      <rPr>
        <sz val="10"/>
        <rFont val="Arial"/>
        <family val="2"/>
        <charset val="161"/>
      </rPr>
      <t>=</t>
    </r>
  </si>
  <si>
    <r>
      <t>(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>)</t>
    </r>
  </si>
  <si>
    <r>
      <t>kN/m</t>
    </r>
    <r>
      <rPr>
        <vertAlign val="superscript"/>
        <sz val="10"/>
        <rFont val="Arial"/>
        <family val="2"/>
        <charset val="161"/>
      </rPr>
      <t>3</t>
    </r>
  </si>
  <si>
    <r>
      <t>γ</t>
    </r>
    <r>
      <rPr>
        <vertAlign val="subscript"/>
        <sz val="10"/>
        <rFont val="Arial"/>
        <family val="2"/>
        <charset val="161"/>
      </rPr>
      <t>dry</t>
    </r>
    <r>
      <rPr>
        <sz val="10"/>
        <rFont val="Arial"/>
        <family val="2"/>
        <charset val="161"/>
      </rPr>
      <t>=</t>
    </r>
  </si>
  <si>
    <t>Water Properties</t>
  </si>
  <si>
    <r>
      <t>γ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=</t>
    </r>
  </si>
  <si>
    <t>Slice geometry:</t>
  </si>
  <si>
    <t>b: slice width</t>
  </si>
  <si>
    <t>z: slice midheight</t>
  </si>
  <si>
    <r>
      <t>z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: water midheight</t>
    </r>
  </si>
  <si>
    <t>Slice No</t>
  </si>
  <si>
    <t>b</t>
  </si>
  <si>
    <t>[m]</t>
  </si>
  <si>
    <t>z</t>
  </si>
  <si>
    <t>W</t>
  </si>
  <si>
    <t>kN</t>
  </si>
  <si>
    <t>c*l</t>
  </si>
  <si>
    <t>N'tanφ</t>
  </si>
  <si>
    <t>FOS=</t>
  </si>
  <si>
    <t>α: slice inclination</t>
  </si>
  <si>
    <t>β: surface inclination</t>
  </si>
  <si>
    <t>θ: interslice force inclination</t>
  </si>
  <si>
    <t>α</t>
  </si>
  <si>
    <t>(ο)</t>
  </si>
  <si>
    <t>l=b/cosα</t>
  </si>
  <si>
    <t>zw</t>
  </si>
  <si>
    <t>ru</t>
  </si>
  <si>
    <t>N=Wcosα</t>
  </si>
  <si>
    <r>
      <t>U=γ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z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l</t>
    </r>
  </si>
  <si>
    <t>N'=N-U</t>
  </si>
  <si>
    <t>Conventional</t>
  </si>
  <si>
    <t>Morgenstern - Price</t>
  </si>
  <si>
    <t>(c*l+N'tanφ)cosα</t>
  </si>
  <si>
    <t>Slices input data</t>
  </si>
  <si>
    <t>Calculations</t>
  </si>
  <si>
    <t>Sums</t>
  </si>
  <si>
    <t>Wsinα</t>
  </si>
  <si>
    <t>Nsinα</t>
  </si>
  <si>
    <t>Factors of Safety</t>
  </si>
  <si>
    <t>Conventional Method</t>
  </si>
  <si>
    <t>Morgestern and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</si>
</sst>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0"/>
      <name val="Arial"/>
      <charset val="161"/>
    </font>
    <font>
      <sz val="10"/>
      <name val="Arial"/>
      <family val="2"/>
      <charset val="161"/>
    </font>
    <font>
      <vertAlign val="sub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gray125">
        <fgColor indexed="45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0" fillId="0" borderId="0" xfId="0" applyFill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2" fontId="1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65" fontId="0" fillId="0" borderId="0" xfId="0" applyNumberFormat="1"/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27</xdr:row>
      <xdr:rowOff>76200</xdr:rowOff>
    </xdr:from>
    <xdr:to>
      <xdr:col>30</xdr:col>
      <xdr:colOff>600075</xdr:colOff>
      <xdr:row>32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448300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27</xdr:row>
      <xdr:rowOff>76200</xdr:rowOff>
    </xdr:from>
    <xdr:to>
      <xdr:col>30</xdr:col>
      <xdr:colOff>600075</xdr:colOff>
      <xdr:row>32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467350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2"/>
      <c r="G1" s="13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3"/>
      <c r="G2" s="13"/>
      <c r="I2" s="10" t="s">
        <v>43</v>
      </c>
    </row>
    <row r="3" spans="1:21" ht="15" thickBot="1" x14ac:dyDescent="0.25">
      <c r="A3" t="s">
        <v>3</v>
      </c>
      <c r="B3" s="23">
        <v>14.9</v>
      </c>
      <c r="C3" t="s">
        <v>5</v>
      </c>
      <c r="E3" t="s">
        <v>12</v>
      </c>
      <c r="F3" s="13"/>
      <c r="G3" s="13"/>
      <c r="I3" s="10" t="s">
        <v>22</v>
      </c>
      <c r="J3" s="22">
        <f>(L28+M28)/N28</f>
        <v>1.0062876151875502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3"/>
      <c r="G4" s="13"/>
      <c r="I4" s="10" t="s">
        <v>44</v>
      </c>
      <c r="J4" s="19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2"/>
      <c r="G5" s="13"/>
      <c r="I5" s="10" t="s">
        <v>22</v>
      </c>
      <c r="J5" s="19">
        <f>O28/P28</f>
        <v>1.0245380969270952</v>
      </c>
    </row>
    <row r="6" spans="1:21" x14ac:dyDescent="0.2">
      <c r="E6" t="s">
        <v>24</v>
      </c>
      <c r="F6" s="12"/>
      <c r="G6" s="13"/>
    </row>
    <row r="7" spans="1:21" x14ac:dyDescent="0.2">
      <c r="A7" t="s">
        <v>8</v>
      </c>
      <c r="E7" t="s">
        <v>25</v>
      </c>
      <c r="F7" s="12"/>
      <c r="G7" s="13"/>
    </row>
    <row r="8" spans="1:21" ht="15.75" x14ac:dyDescent="0.3">
      <c r="A8" t="s">
        <v>9</v>
      </c>
      <c r="B8">
        <v>9.81</v>
      </c>
      <c r="C8" t="s">
        <v>6</v>
      </c>
      <c r="F8" s="13"/>
      <c r="G8" s="13"/>
    </row>
    <row r="10" spans="1:21" x14ac:dyDescent="0.2">
      <c r="B10" s="24" t="s">
        <v>37</v>
      </c>
      <c r="C10" s="25"/>
      <c r="D10" s="25"/>
      <c r="E10" s="25"/>
      <c r="F10" s="26"/>
      <c r="G10" s="27" t="s">
        <v>38</v>
      </c>
      <c r="H10" s="28"/>
      <c r="I10" s="28"/>
      <c r="J10" s="28"/>
      <c r="K10" s="28"/>
      <c r="L10" s="28"/>
      <c r="M10" s="28"/>
      <c r="N10" s="28"/>
      <c r="O10" s="28"/>
      <c r="P10" s="29"/>
    </row>
    <row r="11" spans="1:21" s="1" customFormat="1" ht="15.75" x14ac:dyDescent="0.3">
      <c r="A11" s="1" t="s">
        <v>14</v>
      </c>
      <c r="B11" s="14" t="s">
        <v>15</v>
      </c>
      <c r="C11" s="14" t="s">
        <v>17</v>
      </c>
      <c r="D11" s="14" t="s">
        <v>29</v>
      </c>
      <c r="E11" s="14" t="s">
        <v>26</v>
      </c>
      <c r="F11" s="14" t="s">
        <v>30</v>
      </c>
      <c r="G11" s="14" t="s">
        <v>28</v>
      </c>
      <c r="H11" s="14" t="s">
        <v>18</v>
      </c>
      <c r="I11" s="14" t="s">
        <v>31</v>
      </c>
      <c r="J11" s="14" t="s">
        <v>32</v>
      </c>
      <c r="K11" s="14" t="s">
        <v>33</v>
      </c>
      <c r="L11" s="14" t="s">
        <v>20</v>
      </c>
      <c r="M11" s="14" t="s">
        <v>21</v>
      </c>
      <c r="N11" s="14" t="s">
        <v>40</v>
      </c>
      <c r="O11" s="14" t="s">
        <v>36</v>
      </c>
      <c r="P11" s="14" t="s">
        <v>41</v>
      </c>
      <c r="Q11" s="2"/>
      <c r="R11" s="2"/>
      <c r="S11" s="2"/>
      <c r="T11" s="2"/>
      <c r="U11" s="2"/>
    </row>
    <row r="12" spans="1:21" s="1" customFormat="1" x14ac:dyDescent="0.2">
      <c r="B12" s="15" t="s">
        <v>16</v>
      </c>
      <c r="C12" s="15" t="s">
        <v>16</v>
      </c>
      <c r="D12" s="15" t="s">
        <v>16</v>
      </c>
      <c r="E12" s="15" t="s">
        <v>27</v>
      </c>
      <c r="F12" s="16"/>
      <c r="G12" s="15" t="s">
        <v>16</v>
      </c>
      <c r="H12" s="15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/>
      <c r="P12" s="15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6.38</v>
      </c>
      <c r="D13" s="6">
        <v>0</v>
      </c>
      <c r="E13" s="3">
        <v>46.45</v>
      </c>
      <c r="F13" s="3">
        <f t="shared" ref="F13:F27" si="0">IF(C13=0,#N/A,D13/C13)</f>
        <v>0</v>
      </c>
      <c r="G13" s="21">
        <f t="shared" ref="G13:G27" si="1">B13/COS(RADIANS(E13))</f>
        <v>20.160022623402828</v>
      </c>
      <c r="H13" s="21">
        <f>($B$4*D13+$B$5*(C13-D13))*B13</f>
        <v>1772.364</v>
      </c>
      <c r="I13" s="21">
        <f t="shared" ref="I13:I27" si="2">H13*COS(RADIANS(E13))</f>
        <v>1221.1363260784221</v>
      </c>
      <c r="J13" s="21">
        <f t="shared" ref="J13:J27" si="3">$B$8*D13*G13</f>
        <v>0</v>
      </c>
      <c r="K13" s="21">
        <f>I13-J13</f>
        <v>1221.1363260784221</v>
      </c>
      <c r="L13" s="21">
        <f t="shared" ref="L13:L27" si="4">$B$2*G13</f>
        <v>0</v>
      </c>
      <c r="M13" s="21">
        <f t="shared" ref="M13:M27" si="5">K13*TAN(RADIANS($B$3))</f>
        <v>324.91925355573966</v>
      </c>
      <c r="N13" s="21">
        <f t="shared" ref="N13:N27" si="6">H13*SIN(RADIANS(E13))</f>
        <v>1284.5622684898126</v>
      </c>
      <c r="O13" s="21">
        <f t="shared" ref="O13:O27" si="7">(L13+M13)*COS(RADIANS(E13))</f>
        <v>223.86524639362977</v>
      </c>
      <c r="P13" s="21">
        <f>I13*SIN(RADIANS(E13))</f>
        <v>885.04711738819651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14.76</v>
      </c>
      <c r="D14" s="6">
        <v>1.77</v>
      </c>
      <c r="E14" s="3">
        <v>16.63</v>
      </c>
      <c r="F14" s="3">
        <f t="shared" si="0"/>
        <v>0.11991869918699187</v>
      </c>
      <c r="G14" s="21">
        <f t="shared" si="1"/>
        <v>25.04767258221705</v>
      </c>
      <c r="H14" s="21">
        <f t="shared" ref="H14:H27" si="8">($B$4*D14+$B$5*(C14-D14))*B14</f>
        <v>7106.0400000000009</v>
      </c>
      <c r="I14" s="21">
        <f t="shared" si="2"/>
        <v>6808.8146489538849</v>
      </c>
      <c r="J14" s="21">
        <f t="shared" si="3"/>
        <v>434.92027241584225</v>
      </c>
      <c r="K14" s="21">
        <f t="shared" ref="K14:K27" si="9">I14-J14</f>
        <v>6373.8943765380427</v>
      </c>
      <c r="L14" s="21">
        <f t="shared" si="4"/>
        <v>0</v>
      </c>
      <c r="M14" s="21">
        <f t="shared" si="5"/>
        <v>1695.9621615046988</v>
      </c>
      <c r="N14" s="21">
        <f t="shared" si="6"/>
        <v>2033.6783319372325</v>
      </c>
      <c r="O14" s="21">
        <f t="shared" si="7"/>
        <v>1625.0249097000137</v>
      </c>
      <c r="P14" s="21">
        <f t="shared" ref="P14:P27" si="10">I14*SIN(RADIANS(E14))</f>
        <v>1948.6153775878447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27" si="11">A14+1</f>
        <v>3</v>
      </c>
      <c r="B15" s="5">
        <v>24</v>
      </c>
      <c r="C15" s="6">
        <v>18.559999999999999</v>
      </c>
      <c r="D15" s="6">
        <v>4.17</v>
      </c>
      <c r="E15" s="3">
        <v>16.63</v>
      </c>
      <c r="F15" s="3">
        <f t="shared" si="0"/>
        <v>0.22467672413793105</v>
      </c>
      <c r="G15" s="21">
        <f t="shared" si="1"/>
        <v>25.04767258221705</v>
      </c>
      <c r="H15" s="21">
        <f t="shared" si="8"/>
        <v>8958.84</v>
      </c>
      <c r="I15" s="21">
        <f t="shared" si="2"/>
        <v>8584.1173184550062</v>
      </c>
      <c r="J15" s="21">
        <f t="shared" si="3"/>
        <v>1024.6426756915603</v>
      </c>
      <c r="K15" s="21">
        <f t="shared" si="9"/>
        <v>7559.4746427634454</v>
      </c>
      <c r="L15" s="21">
        <f t="shared" si="4"/>
        <v>0</v>
      </c>
      <c r="M15" s="21">
        <f t="shared" si="5"/>
        <v>2011.42067903932</v>
      </c>
      <c r="N15" s="21">
        <f t="shared" si="6"/>
        <v>2563.9313580126982</v>
      </c>
      <c r="O15" s="21">
        <f t="shared" si="7"/>
        <v>1927.2886987199186</v>
      </c>
      <c r="P15" s="21">
        <f t="shared" si="10"/>
        <v>2456.6894345302144</v>
      </c>
      <c r="Q15" s="4"/>
      <c r="R15" s="4"/>
      <c r="S15" s="4"/>
      <c r="T15" s="4"/>
      <c r="U15" s="4"/>
    </row>
    <row r="16" spans="1:21" s="1" customFormat="1" x14ac:dyDescent="0.2">
      <c r="A16" s="1">
        <f t="shared" si="11"/>
        <v>4</v>
      </c>
      <c r="B16" s="5">
        <v>23.58</v>
      </c>
      <c r="C16" s="6">
        <v>21.58</v>
      </c>
      <c r="D16" s="6">
        <v>5.68</v>
      </c>
      <c r="E16" s="3">
        <v>16.63</v>
      </c>
      <c r="F16" s="3">
        <f t="shared" si="0"/>
        <v>0.26320667284522709</v>
      </c>
      <c r="G16" s="21">
        <f t="shared" si="1"/>
        <v>24.60933831202825</v>
      </c>
      <c r="H16" s="21">
        <f t="shared" si="8"/>
        <v>10244.0952</v>
      </c>
      <c r="I16" s="21">
        <f t="shared" si="2"/>
        <v>9815.6139654488525</v>
      </c>
      <c r="J16" s="21">
        <f t="shared" si="3"/>
        <v>1371.2520182168637</v>
      </c>
      <c r="K16" s="21">
        <f t="shared" si="9"/>
        <v>8444.3619472319879</v>
      </c>
      <c r="L16" s="21">
        <f t="shared" si="4"/>
        <v>0</v>
      </c>
      <c r="M16" s="21">
        <f t="shared" si="5"/>
        <v>2246.8709856993519</v>
      </c>
      <c r="N16" s="21">
        <f t="shared" si="6"/>
        <v>2931.7586783274801</v>
      </c>
      <c r="O16" s="21">
        <f t="shared" si="7"/>
        <v>2152.8907917404349</v>
      </c>
      <c r="P16" s="21">
        <f t="shared" si="10"/>
        <v>2809.1315889291118</v>
      </c>
      <c r="Q16" s="4"/>
      <c r="R16" s="4"/>
      <c r="S16" s="4"/>
      <c r="T16" s="4"/>
      <c r="U16" s="4"/>
    </row>
    <row r="17" spans="1:21" s="1" customFormat="1" x14ac:dyDescent="0.2">
      <c r="A17" s="1">
        <f t="shared" si="11"/>
        <v>5</v>
      </c>
      <c r="B17" s="5">
        <v>23</v>
      </c>
      <c r="C17" s="6">
        <v>22.85</v>
      </c>
      <c r="D17" s="6">
        <v>5.84</v>
      </c>
      <c r="E17" s="3">
        <v>12.98</v>
      </c>
      <c r="F17" s="3">
        <f t="shared" si="0"/>
        <v>0.25557986870897154</v>
      </c>
      <c r="G17" s="21">
        <f t="shared" si="1"/>
        <v>23.603093786392062</v>
      </c>
      <c r="H17" s="21">
        <f t="shared" si="8"/>
        <v>10578.160000000002</v>
      </c>
      <c r="I17" s="21">
        <f t="shared" si="2"/>
        <v>10307.872442563817</v>
      </c>
      <c r="J17" s="21">
        <f t="shared" si="3"/>
        <v>1352.2306842599157</v>
      </c>
      <c r="K17" s="21">
        <f t="shared" si="9"/>
        <v>8955.641758303902</v>
      </c>
      <c r="L17" s="21">
        <f t="shared" si="4"/>
        <v>0</v>
      </c>
      <c r="M17" s="21">
        <f t="shared" si="5"/>
        <v>2382.9120247085684</v>
      </c>
      <c r="N17" s="21">
        <f t="shared" si="6"/>
        <v>2375.9702635835879</v>
      </c>
      <c r="O17" s="21">
        <f t="shared" si="7"/>
        <v>2322.0251151946463</v>
      </c>
      <c r="P17" s="21">
        <f t="shared" si="10"/>
        <v>2315.2607262836209</v>
      </c>
      <c r="Q17" s="4"/>
      <c r="R17" s="4"/>
      <c r="S17" s="4"/>
      <c r="T17" s="4"/>
      <c r="U17" s="4"/>
    </row>
    <row r="18" spans="1:21" s="1" customFormat="1" x14ac:dyDescent="0.2">
      <c r="A18" s="1">
        <f t="shared" si="11"/>
        <v>6</v>
      </c>
      <c r="B18" s="5">
        <v>22.16</v>
      </c>
      <c r="C18" s="6">
        <v>23.22</v>
      </c>
      <c r="D18" s="6">
        <v>4.53</v>
      </c>
      <c r="E18" s="3">
        <v>12.98</v>
      </c>
      <c r="F18" s="3">
        <f t="shared" si="0"/>
        <v>0.19509043927648581</v>
      </c>
      <c r="G18" s="21">
        <f t="shared" si="1"/>
        <v>22.741067752454267</v>
      </c>
      <c r="H18" s="21">
        <f t="shared" si="8"/>
        <v>10341.296399999999</v>
      </c>
      <c r="I18" s="21">
        <f t="shared" si="2"/>
        <v>10077.061056170865</v>
      </c>
      <c r="J18" s="21">
        <f t="shared" si="3"/>
        <v>1010.597132171641</v>
      </c>
      <c r="K18" s="21">
        <f t="shared" si="9"/>
        <v>9066.4639239992248</v>
      </c>
      <c r="L18" s="21">
        <f t="shared" si="4"/>
        <v>0</v>
      </c>
      <c r="M18" s="21">
        <f t="shared" si="5"/>
        <v>2412.3995230215473</v>
      </c>
      <c r="N18" s="21">
        <f t="shared" si="6"/>
        <v>2322.7681121578803</v>
      </c>
      <c r="O18" s="21">
        <f t="shared" si="7"/>
        <v>2350.7591645246339</v>
      </c>
      <c r="P18" s="21">
        <f t="shared" si="10"/>
        <v>2263.4179681322835</v>
      </c>
      <c r="Q18" s="4"/>
      <c r="R18" s="4"/>
      <c r="S18" s="4"/>
      <c r="T18" s="4"/>
      <c r="U18" s="4"/>
    </row>
    <row r="19" spans="1:21" s="1" customFormat="1" x14ac:dyDescent="0.2">
      <c r="A19" s="1">
        <f t="shared" si="11"/>
        <v>7</v>
      </c>
      <c r="B19" s="5">
        <v>20</v>
      </c>
      <c r="C19" s="6">
        <v>23.52</v>
      </c>
      <c r="D19" s="6">
        <v>2.4900000000000002</v>
      </c>
      <c r="E19" s="3">
        <v>14.04</v>
      </c>
      <c r="F19" s="3">
        <f t="shared" si="0"/>
        <v>0.10586734693877552</v>
      </c>
      <c r="G19" s="21">
        <f t="shared" si="1"/>
        <v>20.615866086302045</v>
      </c>
      <c r="H19" s="21">
        <f t="shared" si="8"/>
        <v>9432.9000000000015</v>
      </c>
      <c r="I19" s="21">
        <f t="shared" si="2"/>
        <v>9151.1071720315213</v>
      </c>
      <c r="J19" s="21">
        <f t="shared" si="3"/>
        <v>503.58169930349152</v>
      </c>
      <c r="K19" s="21">
        <f t="shared" si="9"/>
        <v>8647.5254727280299</v>
      </c>
      <c r="L19" s="21">
        <f t="shared" si="4"/>
        <v>0</v>
      </c>
      <c r="M19" s="21">
        <f t="shared" si="5"/>
        <v>2300.9286200880674</v>
      </c>
      <c r="N19" s="21">
        <f t="shared" si="6"/>
        <v>2288.4142841699991</v>
      </c>
      <c r="O19" s="21">
        <f t="shared" si="7"/>
        <v>2232.1920509727124</v>
      </c>
      <c r="P19" s="21">
        <f t="shared" si="10"/>
        <v>2220.0515608611831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8</v>
      </c>
      <c r="B20" s="5">
        <v>10.91</v>
      </c>
      <c r="C20" s="6">
        <v>24.02</v>
      </c>
      <c r="D20" s="6">
        <v>1.0900000000000001</v>
      </c>
      <c r="E20" s="3">
        <v>14.04</v>
      </c>
      <c r="F20" s="3">
        <f t="shared" si="0"/>
        <v>4.537885095753539E-2</v>
      </c>
      <c r="G20" s="21">
        <f t="shared" si="1"/>
        <v>11.245954950077765</v>
      </c>
      <c r="H20" s="21">
        <f t="shared" si="8"/>
        <v>5247.1099500000009</v>
      </c>
      <c r="I20" s="21">
        <f t="shared" si="2"/>
        <v>5090.36091720287</v>
      </c>
      <c r="J20" s="21">
        <f t="shared" si="3"/>
        <v>120.25187168568655</v>
      </c>
      <c r="K20" s="21">
        <f t="shared" si="9"/>
        <v>4970.1090455171834</v>
      </c>
      <c r="L20" s="21">
        <f t="shared" si="4"/>
        <v>0</v>
      </c>
      <c r="M20" s="21">
        <f t="shared" si="5"/>
        <v>1322.4437654280084</v>
      </c>
      <c r="N20" s="21">
        <f t="shared" si="6"/>
        <v>1272.9448377689289</v>
      </c>
      <c r="O20" s="21">
        <f t="shared" si="7"/>
        <v>1282.9378692042337</v>
      </c>
      <c r="P20" s="21">
        <f t="shared" si="10"/>
        <v>1234.9176429844208</v>
      </c>
      <c r="Q20" s="4"/>
      <c r="R20" s="4"/>
      <c r="S20" s="4"/>
      <c r="T20" s="4"/>
      <c r="U20" s="4"/>
    </row>
    <row r="21" spans="1:21" s="1" customFormat="1" x14ac:dyDescent="0.2">
      <c r="A21" s="1">
        <f t="shared" si="11"/>
        <v>9</v>
      </c>
      <c r="B21" s="5">
        <v>9.09</v>
      </c>
      <c r="C21" s="6">
        <v>23.29</v>
      </c>
      <c r="D21" s="6">
        <v>1.18</v>
      </c>
      <c r="E21" s="3">
        <v>14.04</v>
      </c>
      <c r="F21" s="3">
        <f t="shared" si="0"/>
        <v>5.0665521683125804E-2</v>
      </c>
      <c r="G21" s="21">
        <f t="shared" si="1"/>
        <v>9.3699111362242782</v>
      </c>
      <c r="H21" s="21">
        <f t="shared" si="8"/>
        <v>4239.4850999999999</v>
      </c>
      <c r="I21" s="21">
        <f t="shared" si="2"/>
        <v>4112.8372509335159</v>
      </c>
      <c r="J21" s="21">
        <f t="shared" si="3"/>
        <v>108.464217330705</v>
      </c>
      <c r="K21" s="21">
        <f t="shared" si="9"/>
        <v>4004.3730336028107</v>
      </c>
      <c r="L21" s="21">
        <f t="shared" si="4"/>
        <v>0</v>
      </c>
      <c r="M21" s="21">
        <f t="shared" si="5"/>
        <v>1065.4812810419994</v>
      </c>
      <c r="N21" s="21">
        <f t="shared" si="6"/>
        <v>1028.4958242285909</v>
      </c>
      <c r="O21" s="21">
        <f t="shared" si="7"/>
        <v>1033.6517288011928</v>
      </c>
      <c r="P21" s="21">
        <f t="shared" si="10"/>
        <v>997.77115346316896</v>
      </c>
      <c r="Q21" s="4"/>
      <c r="R21" s="4"/>
      <c r="S21" s="4"/>
      <c r="T21" s="4"/>
      <c r="U21" s="4"/>
    </row>
    <row r="22" spans="1:21" s="1" customFormat="1" x14ac:dyDescent="0.2">
      <c r="A22" s="1">
        <f t="shared" si="11"/>
        <v>10</v>
      </c>
      <c r="B22" s="5">
        <v>13.78</v>
      </c>
      <c r="C22" s="6">
        <v>20.8</v>
      </c>
      <c r="D22" s="6">
        <v>1.6</v>
      </c>
      <c r="E22" s="3">
        <v>14.04</v>
      </c>
      <c r="F22" s="3">
        <f t="shared" si="0"/>
        <v>7.6923076923076927E-2</v>
      </c>
      <c r="G22" s="21">
        <f t="shared" si="1"/>
        <v>14.204331733462109</v>
      </c>
      <c r="H22" s="21">
        <f t="shared" si="8"/>
        <v>5743.5039999999999</v>
      </c>
      <c r="I22" s="21">
        <f t="shared" si="2"/>
        <v>5571.9259874473082</v>
      </c>
      <c r="J22" s="21">
        <f t="shared" si="3"/>
        <v>222.95119088842128</v>
      </c>
      <c r="K22" s="21">
        <f t="shared" si="9"/>
        <v>5348.9747965588867</v>
      </c>
      <c r="L22" s="21">
        <f t="shared" si="4"/>
        <v>0</v>
      </c>
      <c r="M22" s="21">
        <f t="shared" si="5"/>
        <v>1423.2521472584244</v>
      </c>
      <c r="N22" s="21">
        <f t="shared" si="6"/>
        <v>1393.3696524703455</v>
      </c>
      <c r="O22" s="21">
        <f t="shared" si="7"/>
        <v>1380.7347615670501</v>
      </c>
      <c r="P22" s="21">
        <f t="shared" si="10"/>
        <v>1351.7449586036578</v>
      </c>
      <c r="Q22" s="4"/>
      <c r="R22" s="4"/>
      <c r="S22" s="4"/>
      <c r="T22" s="4"/>
      <c r="U22" s="4"/>
    </row>
    <row r="23" spans="1:21" s="1" customFormat="1" x14ac:dyDescent="0.2">
      <c r="A23" s="1">
        <f t="shared" si="11"/>
        <v>11</v>
      </c>
      <c r="B23" s="5">
        <v>4.22</v>
      </c>
      <c r="C23" s="6">
        <v>19.760000000000002</v>
      </c>
      <c r="D23" s="6">
        <v>1.79</v>
      </c>
      <c r="E23" s="3">
        <v>14.04</v>
      </c>
      <c r="F23" s="3">
        <f t="shared" si="0"/>
        <v>9.058704453441295E-2</v>
      </c>
      <c r="G23" s="21">
        <f t="shared" si="1"/>
        <v>4.3499477442097314</v>
      </c>
      <c r="H23" s="21">
        <f t="shared" si="8"/>
        <v>1671.5209</v>
      </c>
      <c r="I23" s="21">
        <f t="shared" si="2"/>
        <v>1621.5868816790785</v>
      </c>
      <c r="J23" s="21">
        <f t="shared" si="3"/>
        <v>76.384647393548477</v>
      </c>
      <c r="K23" s="21">
        <f t="shared" si="9"/>
        <v>1545.20223428553</v>
      </c>
      <c r="L23" s="21">
        <f t="shared" si="4"/>
        <v>0</v>
      </c>
      <c r="M23" s="21">
        <f t="shared" si="5"/>
        <v>411.14652462191395</v>
      </c>
      <c r="N23" s="21">
        <f t="shared" si="6"/>
        <v>405.50968459844711</v>
      </c>
      <c r="O23" s="21">
        <f t="shared" si="7"/>
        <v>398.86417859019286</v>
      </c>
      <c r="P23" s="21">
        <f t="shared" si="10"/>
        <v>393.39573016326779</v>
      </c>
      <c r="Q23" s="4"/>
      <c r="R23" s="4"/>
      <c r="S23" s="4"/>
      <c r="T23" s="4"/>
      <c r="U23" s="4"/>
    </row>
    <row r="24" spans="1:21" s="1" customFormat="1" x14ac:dyDescent="0.2">
      <c r="A24" s="1">
        <f t="shared" si="11"/>
        <v>12</v>
      </c>
      <c r="B24" s="5">
        <v>7.93</v>
      </c>
      <c r="C24" s="6">
        <v>19.79</v>
      </c>
      <c r="D24" s="6">
        <v>0.61</v>
      </c>
      <c r="E24" s="3">
        <v>-1.54</v>
      </c>
      <c r="F24" s="3">
        <f t="shared" si="0"/>
        <v>3.0823648307225872E-2</v>
      </c>
      <c r="G24" s="21">
        <f t="shared" si="1"/>
        <v>7.932865300103237</v>
      </c>
      <c r="H24" s="21">
        <f t="shared" si="8"/>
        <v>3141.11265</v>
      </c>
      <c r="I24" s="21">
        <f t="shared" si="2"/>
        <v>3139.9781002427758</v>
      </c>
      <c r="J24" s="21">
        <f t="shared" si="3"/>
        <v>47.471059242347778</v>
      </c>
      <c r="K24" s="21">
        <f t="shared" si="9"/>
        <v>3092.5070410004282</v>
      </c>
      <c r="L24" s="21">
        <f t="shared" si="4"/>
        <v>0</v>
      </c>
      <c r="M24" s="21">
        <f t="shared" si="5"/>
        <v>822.85250051041271</v>
      </c>
      <c r="N24" s="21">
        <f t="shared" si="6"/>
        <v>-84.416882113659355</v>
      </c>
      <c r="O24" s="21">
        <f t="shared" si="7"/>
        <v>822.555291461038</v>
      </c>
      <c r="P24" s="21">
        <f t="shared" si="10"/>
        <v>-84.386391276882875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13</v>
      </c>
      <c r="B25" s="5">
        <v>19.87</v>
      </c>
      <c r="C25" s="6">
        <v>11.07</v>
      </c>
      <c r="D25" s="11">
        <v>0</v>
      </c>
      <c r="E25" s="3">
        <v>-1.54</v>
      </c>
      <c r="F25" s="3">
        <f t="shared" si="0"/>
        <v>0</v>
      </c>
      <c r="G25" s="21">
        <f t="shared" si="1"/>
        <v>19.877179509842538</v>
      </c>
      <c r="H25" s="21">
        <f t="shared" si="8"/>
        <v>4399.2180000000008</v>
      </c>
      <c r="I25" s="21">
        <f t="shared" si="2"/>
        <v>4397.6290306537794</v>
      </c>
      <c r="J25" s="21">
        <f t="shared" si="3"/>
        <v>0</v>
      </c>
      <c r="K25" s="21">
        <f t="shared" si="9"/>
        <v>4397.6290306537794</v>
      </c>
      <c r="L25" s="21">
        <f t="shared" si="4"/>
        <v>0</v>
      </c>
      <c r="M25" s="21">
        <f t="shared" si="5"/>
        <v>1170.1186112805178</v>
      </c>
      <c r="N25" s="21">
        <f t="shared" si="6"/>
        <v>-118.22825497783033</v>
      </c>
      <c r="O25" s="21">
        <f t="shared" si="7"/>
        <v>1169.6959719376239</v>
      </c>
      <c r="P25" s="21">
        <f t="shared" si="10"/>
        <v>-118.18555168987848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14</v>
      </c>
      <c r="B26" s="5">
        <v>8.19</v>
      </c>
      <c r="C26" s="6">
        <v>2.9</v>
      </c>
      <c r="D26" s="11">
        <v>0</v>
      </c>
      <c r="E26" s="3">
        <v>-1.54</v>
      </c>
      <c r="F26" s="3">
        <f t="shared" si="0"/>
        <v>0</v>
      </c>
      <c r="G26" s="21">
        <f t="shared" si="1"/>
        <v>8.1929592443689163</v>
      </c>
      <c r="H26" s="21">
        <f t="shared" si="8"/>
        <v>475.02</v>
      </c>
      <c r="I26" s="21">
        <f t="shared" si="2"/>
        <v>474.84842582048856</v>
      </c>
      <c r="J26" s="21">
        <f t="shared" si="3"/>
        <v>0</v>
      </c>
      <c r="K26" s="21">
        <f t="shared" si="9"/>
        <v>474.84842582048856</v>
      </c>
      <c r="L26" s="21">
        <f t="shared" si="4"/>
        <v>0</v>
      </c>
      <c r="M26" s="21">
        <f t="shared" si="5"/>
        <v>126.34739690792125</v>
      </c>
      <c r="N26" s="21">
        <f t="shared" si="6"/>
        <v>-12.766083808433443</v>
      </c>
      <c r="O26" s="21">
        <f t="shared" si="7"/>
        <v>126.30176103794129</v>
      </c>
      <c r="P26" s="21">
        <f t="shared" si="10"/>
        <v>-12.761472780781963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15</v>
      </c>
      <c r="B27" s="5">
        <v>3.41</v>
      </c>
      <c r="C27" s="6">
        <v>1.56</v>
      </c>
      <c r="D27" s="11">
        <v>0</v>
      </c>
      <c r="E27" s="3">
        <v>-42.04</v>
      </c>
      <c r="F27" s="3">
        <f t="shared" si="0"/>
        <v>0</v>
      </c>
      <c r="G27" s="21">
        <f t="shared" si="1"/>
        <v>4.5914949431503365</v>
      </c>
      <c r="H27" s="21">
        <f t="shared" si="8"/>
        <v>106.39200000000001</v>
      </c>
      <c r="I27" s="21">
        <f t="shared" si="2"/>
        <v>79.014944912707747</v>
      </c>
      <c r="J27" s="21">
        <f t="shared" si="3"/>
        <v>0</v>
      </c>
      <c r="K27" s="21">
        <f t="shared" si="9"/>
        <v>79.014944912707747</v>
      </c>
      <c r="L27" s="21">
        <f t="shared" si="4"/>
        <v>0</v>
      </c>
      <c r="M27" s="21">
        <f t="shared" si="5"/>
        <v>21.024251242474399</v>
      </c>
      <c r="N27" s="21">
        <f t="shared" si="6"/>
        <v>-71.245323667183669</v>
      </c>
      <c r="O27" s="21">
        <f t="shared" si="7"/>
        <v>15.614238417879559</v>
      </c>
      <c r="P27" s="21">
        <f t="shared" si="10"/>
        <v>-52.912299090632295</v>
      </c>
      <c r="Q27" s="4"/>
      <c r="R27" s="4"/>
      <c r="S27" s="4"/>
      <c r="T27" s="4"/>
      <c r="U27" s="4"/>
    </row>
    <row r="28" spans="1:21" s="1" customFormat="1" ht="13.5" thickBot="1" x14ac:dyDescent="0.25">
      <c r="K28" s="10" t="s">
        <v>39</v>
      </c>
      <c r="L28" s="20">
        <f>SUM(L13:L27)</f>
        <v>0</v>
      </c>
      <c r="M28" s="20">
        <f>ROUND(SUM(M13:M27),2)</f>
        <v>19738.080000000002</v>
      </c>
      <c r="N28" s="20">
        <f>ROUND(SUM(N13:N27),2)</f>
        <v>19614.75</v>
      </c>
      <c r="O28" s="20">
        <f>ROUND(SUM(O13:O27),2)</f>
        <v>19064.400000000001</v>
      </c>
      <c r="P28" s="20">
        <f>ROUND(SUM(P13:P27),2)</f>
        <v>18607.8</v>
      </c>
      <c r="Q28" s="8"/>
      <c r="R28" s="8"/>
      <c r="S28" s="8"/>
      <c r="T28" s="8"/>
      <c r="U28" s="8"/>
    </row>
    <row r="29" spans="1:21" s="1" customFormat="1" x14ac:dyDescent="0.2">
      <c r="L29" s="9"/>
      <c r="M29" s="8"/>
      <c r="N29" s="8"/>
      <c r="O29" s="4"/>
      <c r="P29" s="8"/>
      <c r="Q29" s="8"/>
      <c r="R29" s="8"/>
      <c r="S29" s="8"/>
      <c r="T29" s="8"/>
      <c r="U29" s="8"/>
    </row>
    <row r="30" spans="1:21" s="1" customFormat="1" x14ac:dyDescent="0.2">
      <c r="L30" s="9"/>
      <c r="M30" s="8"/>
      <c r="N30" s="8"/>
      <c r="O30" s="4"/>
      <c r="P30" s="8"/>
      <c r="Q30" s="8"/>
      <c r="R30" s="8"/>
      <c r="S30" s="8"/>
      <c r="T30" s="8"/>
      <c r="U30" s="8"/>
    </row>
    <row r="31" spans="1:21" s="1" customFormat="1" x14ac:dyDescent="0.2">
      <c r="J31" s="10" t="s">
        <v>34</v>
      </c>
      <c r="L31" s="17" t="str">
        <f>CONCATENATE("FOS=Σ(c'l+N'tanφ)/Σ(Wsinα)=(",L28,"+",M28,")/",N28,"=",ROUND(((L28+M28)/N28),3))</f>
        <v>FOS=Σ(c'l+N'tanφ)/Σ(Wsinα)=(0+19738.08)/19614.75=1.006</v>
      </c>
    </row>
    <row r="32" spans="1:21" s="1" customFormat="1" x14ac:dyDescent="0.2">
      <c r="J32" s="10"/>
      <c r="L32" s="10"/>
      <c r="O32" s="7"/>
    </row>
    <row r="33" spans="10:15" x14ac:dyDescent="0.2">
      <c r="J33" s="10" t="s">
        <v>35</v>
      </c>
      <c r="L33" s="18" t="str">
        <f>CONCATENATE("FOS=Σ((c*l+N'tanφ)cosα)/Σ(Nsinα)=(",O28,")/",P28,"=",ROUND((O28/P28),3))</f>
        <v>FOS=Σ((c*l+N'tanφ)cosα)/Σ(Nsinα)=(19064.4)/18607.8=1.025</v>
      </c>
      <c r="O33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2"/>
      <c r="G1" s="13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3"/>
      <c r="G2" s="13"/>
      <c r="I2" s="10" t="s">
        <v>43</v>
      </c>
    </row>
    <row r="3" spans="1:21" ht="15" thickBot="1" x14ac:dyDescent="0.25">
      <c r="A3" t="s">
        <v>3</v>
      </c>
      <c r="B3" s="23">
        <v>14.6</v>
      </c>
      <c r="C3" t="s">
        <v>5</v>
      </c>
      <c r="E3" t="s">
        <v>12</v>
      </c>
      <c r="F3" s="13"/>
      <c r="G3" s="13"/>
      <c r="I3" s="10" t="s">
        <v>22</v>
      </c>
      <c r="J3" s="19">
        <f>(L28+M28)/N28</f>
        <v>0.98511273403943467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3"/>
      <c r="G4" s="13"/>
      <c r="I4" s="10" t="s">
        <v>44</v>
      </c>
      <c r="J4" s="19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2"/>
      <c r="G5" s="13"/>
      <c r="I5" s="10" t="s">
        <v>22</v>
      </c>
      <c r="J5" s="22">
        <f>O28/P28</f>
        <v>1.0029793957372717</v>
      </c>
    </row>
    <row r="6" spans="1:21" x14ac:dyDescent="0.2">
      <c r="E6" t="s">
        <v>24</v>
      </c>
      <c r="F6" s="12"/>
      <c r="G6" s="13"/>
    </row>
    <row r="7" spans="1:21" x14ac:dyDescent="0.2">
      <c r="A7" t="s">
        <v>8</v>
      </c>
      <c r="E7" t="s">
        <v>25</v>
      </c>
      <c r="F7" s="12"/>
      <c r="G7" s="13"/>
    </row>
    <row r="8" spans="1:21" ht="15.75" x14ac:dyDescent="0.3">
      <c r="A8" t="s">
        <v>9</v>
      </c>
      <c r="B8">
        <v>9.81</v>
      </c>
      <c r="C8" t="s">
        <v>6</v>
      </c>
      <c r="F8" s="13"/>
      <c r="G8" s="13"/>
    </row>
    <row r="10" spans="1:21" x14ac:dyDescent="0.2">
      <c r="B10" s="24" t="s">
        <v>37</v>
      </c>
      <c r="C10" s="25"/>
      <c r="D10" s="25"/>
      <c r="E10" s="25"/>
      <c r="F10" s="26"/>
      <c r="G10" s="27" t="s">
        <v>38</v>
      </c>
      <c r="H10" s="28"/>
      <c r="I10" s="28"/>
      <c r="J10" s="28"/>
      <c r="K10" s="28"/>
      <c r="L10" s="28"/>
      <c r="M10" s="28"/>
      <c r="N10" s="28"/>
      <c r="O10" s="28"/>
      <c r="P10" s="29"/>
    </row>
    <row r="11" spans="1:21" s="1" customFormat="1" ht="15.75" x14ac:dyDescent="0.3">
      <c r="A11" s="1" t="s">
        <v>14</v>
      </c>
      <c r="B11" s="14" t="s">
        <v>15</v>
      </c>
      <c r="C11" s="14" t="s">
        <v>17</v>
      </c>
      <c r="D11" s="14" t="s">
        <v>29</v>
      </c>
      <c r="E11" s="14" t="s">
        <v>26</v>
      </c>
      <c r="F11" s="14" t="s">
        <v>30</v>
      </c>
      <c r="G11" s="14" t="s">
        <v>28</v>
      </c>
      <c r="H11" s="14" t="s">
        <v>18</v>
      </c>
      <c r="I11" s="14" t="s">
        <v>31</v>
      </c>
      <c r="J11" s="14" t="s">
        <v>32</v>
      </c>
      <c r="K11" s="14" t="s">
        <v>33</v>
      </c>
      <c r="L11" s="14" t="s">
        <v>20</v>
      </c>
      <c r="M11" s="14" t="s">
        <v>21</v>
      </c>
      <c r="N11" s="14" t="s">
        <v>40</v>
      </c>
      <c r="O11" s="14" t="s">
        <v>36</v>
      </c>
      <c r="P11" s="14" t="s">
        <v>41</v>
      </c>
      <c r="Q11" s="2"/>
      <c r="R11" s="2"/>
      <c r="S11" s="2"/>
      <c r="T11" s="2"/>
      <c r="U11" s="2"/>
    </row>
    <row r="12" spans="1:21" s="1" customFormat="1" x14ac:dyDescent="0.2">
      <c r="B12" s="15" t="s">
        <v>16</v>
      </c>
      <c r="C12" s="15" t="s">
        <v>16</v>
      </c>
      <c r="D12" s="15" t="s">
        <v>16</v>
      </c>
      <c r="E12" s="15" t="s">
        <v>27</v>
      </c>
      <c r="F12" s="16"/>
      <c r="G12" s="15" t="s">
        <v>16</v>
      </c>
      <c r="H12" s="15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/>
      <c r="P12" s="15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6.38</v>
      </c>
      <c r="D13" s="6">
        <v>0</v>
      </c>
      <c r="E13" s="3">
        <v>46.45</v>
      </c>
      <c r="F13" s="3">
        <f>$B$8*D13/($B$4*D13+$B$5*(C13-D13))</f>
        <v>0</v>
      </c>
      <c r="G13" s="21">
        <f t="shared" ref="G13:G27" si="0">B13/COS(RADIANS(E13))</f>
        <v>20.160022623402828</v>
      </c>
      <c r="H13" s="21">
        <f>($B$4*D13+$B$5*(C13-D13))*B13</f>
        <v>1772.364</v>
      </c>
      <c r="I13" s="21">
        <f t="shared" ref="I13:I27" si="1">H13*COS(RADIANS(E13))</f>
        <v>1221.1363260784221</v>
      </c>
      <c r="J13" s="21">
        <f t="shared" ref="J13:J27" si="2">$B$8*D13*G13</f>
        <v>0</v>
      </c>
      <c r="K13" s="21">
        <f>I13-J13</f>
        <v>1221.1363260784221</v>
      </c>
      <c r="L13" s="21">
        <f t="shared" ref="L13:L27" si="3">$B$2*G13</f>
        <v>0</v>
      </c>
      <c r="M13" s="21">
        <f t="shared" ref="M13:M27" si="4">K13*TAN(RADIANS($B$3))</f>
        <v>318.08218773894123</v>
      </c>
      <c r="N13" s="21">
        <f t="shared" ref="N13:N27" si="5">H13*SIN(RADIANS(E13))</f>
        <v>1284.5622684898126</v>
      </c>
      <c r="O13" s="21">
        <f t="shared" ref="O13:O27" si="6">(L13+M13)*COS(RADIANS(E13))</f>
        <v>219.15459472575478</v>
      </c>
      <c r="P13" s="21">
        <f>I13*SIN(RADIANS(E13))</f>
        <v>885.04711738819651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14.76</v>
      </c>
      <c r="D14" s="6">
        <v>1.77</v>
      </c>
      <c r="E14" s="3">
        <v>16.63</v>
      </c>
      <c r="F14" s="3">
        <f t="shared" ref="F14:F27" si="7">$B$8*D14/($B$4*D14+$B$5*(C14-D14))</f>
        <v>5.8644308222301024E-2</v>
      </c>
      <c r="G14" s="21">
        <f t="shared" si="0"/>
        <v>25.04767258221705</v>
      </c>
      <c r="H14" s="21">
        <f t="shared" ref="H14:H27" si="8">($B$4*D14+$B$5*(C14-D14))*B14</f>
        <v>7106.0400000000009</v>
      </c>
      <c r="I14" s="21">
        <f t="shared" si="1"/>
        <v>6808.8146489538849</v>
      </c>
      <c r="J14" s="21">
        <f t="shared" si="2"/>
        <v>434.92027241584225</v>
      </c>
      <c r="K14" s="21">
        <f t="shared" ref="K14:K27" si="9">I14-J14</f>
        <v>6373.8943765380427</v>
      </c>
      <c r="L14" s="21">
        <f t="shared" si="3"/>
        <v>0</v>
      </c>
      <c r="M14" s="21">
        <f t="shared" si="4"/>
        <v>1660.2751260516945</v>
      </c>
      <c r="N14" s="21">
        <f t="shared" si="5"/>
        <v>2033.6783319372325</v>
      </c>
      <c r="O14" s="21">
        <f t="shared" si="6"/>
        <v>1590.8305609811559</v>
      </c>
      <c r="P14" s="21">
        <f t="shared" ref="P14:P27" si="10">I14*SIN(RADIANS(E14))</f>
        <v>1948.6153775878447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27" si="11">A14+1</f>
        <v>3</v>
      </c>
      <c r="B15" s="5">
        <v>24</v>
      </c>
      <c r="C15" s="6">
        <v>18.559999999999999</v>
      </c>
      <c r="D15" s="6">
        <v>4.17</v>
      </c>
      <c r="E15" s="3">
        <v>16.63</v>
      </c>
      <c r="F15" s="3">
        <f t="shared" si="7"/>
        <v>0.10958838421045582</v>
      </c>
      <c r="G15" s="21">
        <f t="shared" si="0"/>
        <v>25.04767258221705</v>
      </c>
      <c r="H15" s="21">
        <f t="shared" si="8"/>
        <v>8958.84</v>
      </c>
      <c r="I15" s="21">
        <f t="shared" si="1"/>
        <v>8584.1173184550062</v>
      </c>
      <c r="J15" s="21">
        <f t="shared" si="2"/>
        <v>1024.6426756915603</v>
      </c>
      <c r="K15" s="21">
        <f t="shared" si="9"/>
        <v>7559.4746427634454</v>
      </c>
      <c r="L15" s="21">
        <f t="shared" si="3"/>
        <v>0</v>
      </c>
      <c r="M15" s="21">
        <f t="shared" si="4"/>
        <v>1969.095653921958</v>
      </c>
      <c r="N15" s="21">
        <f t="shared" si="5"/>
        <v>2563.9313580126982</v>
      </c>
      <c r="O15" s="21">
        <f t="shared" si="6"/>
        <v>1886.7340084794421</v>
      </c>
      <c r="P15" s="21">
        <f t="shared" si="10"/>
        <v>2456.6894345302144</v>
      </c>
      <c r="Q15" s="4"/>
      <c r="R15" s="4"/>
      <c r="S15" s="4"/>
      <c r="T15" s="4"/>
      <c r="U15" s="4"/>
    </row>
    <row r="16" spans="1:21" s="1" customFormat="1" x14ac:dyDescent="0.2">
      <c r="A16" s="1">
        <f t="shared" si="11"/>
        <v>4</v>
      </c>
      <c r="B16" s="5">
        <v>23.58</v>
      </c>
      <c r="C16" s="6">
        <v>21.58</v>
      </c>
      <c r="D16" s="6">
        <v>5.68</v>
      </c>
      <c r="E16" s="3">
        <v>16.63</v>
      </c>
      <c r="F16" s="3">
        <f t="shared" si="7"/>
        <v>0.12825890801951936</v>
      </c>
      <c r="G16" s="21">
        <f t="shared" si="0"/>
        <v>24.60933831202825</v>
      </c>
      <c r="H16" s="21">
        <f t="shared" si="8"/>
        <v>10244.0952</v>
      </c>
      <c r="I16" s="21">
        <f t="shared" si="1"/>
        <v>9815.6139654488525</v>
      </c>
      <c r="J16" s="21">
        <f t="shared" si="2"/>
        <v>1371.2520182168637</v>
      </c>
      <c r="K16" s="21">
        <f t="shared" si="9"/>
        <v>8444.3619472319879</v>
      </c>
      <c r="L16" s="21">
        <f t="shared" si="3"/>
        <v>0</v>
      </c>
      <c r="M16" s="21">
        <f t="shared" si="4"/>
        <v>2199.5915319797964</v>
      </c>
      <c r="N16" s="21">
        <f t="shared" si="5"/>
        <v>2931.7586783274801</v>
      </c>
      <c r="O16" s="21">
        <f t="shared" si="6"/>
        <v>2107.5889024912544</v>
      </c>
      <c r="P16" s="21">
        <f t="shared" si="10"/>
        <v>2809.1315889291118</v>
      </c>
      <c r="Q16" s="4"/>
      <c r="R16" s="4"/>
      <c r="S16" s="4"/>
      <c r="T16" s="4"/>
      <c r="U16" s="4"/>
    </row>
    <row r="17" spans="1:21" s="1" customFormat="1" x14ac:dyDescent="0.2">
      <c r="A17" s="1">
        <f t="shared" si="11"/>
        <v>5</v>
      </c>
      <c r="B17" s="5">
        <v>23</v>
      </c>
      <c r="C17" s="6">
        <v>22.85</v>
      </c>
      <c r="D17" s="6">
        <v>5.84</v>
      </c>
      <c r="E17" s="3">
        <v>12.98</v>
      </c>
      <c r="F17" s="3">
        <f t="shared" si="7"/>
        <v>0.12456601148025741</v>
      </c>
      <c r="G17" s="21">
        <f t="shared" si="0"/>
        <v>23.603093786392062</v>
      </c>
      <c r="H17" s="21">
        <f t="shared" si="8"/>
        <v>10578.160000000002</v>
      </c>
      <c r="I17" s="21">
        <f t="shared" si="1"/>
        <v>10307.872442563817</v>
      </c>
      <c r="J17" s="21">
        <f t="shared" si="2"/>
        <v>1352.2306842599157</v>
      </c>
      <c r="K17" s="21">
        <f t="shared" si="9"/>
        <v>8955.641758303902</v>
      </c>
      <c r="L17" s="21">
        <f t="shared" si="3"/>
        <v>0</v>
      </c>
      <c r="M17" s="21">
        <f t="shared" si="4"/>
        <v>2332.7699473454063</v>
      </c>
      <c r="N17" s="21">
        <f t="shared" si="5"/>
        <v>2375.9702635835879</v>
      </c>
      <c r="O17" s="21">
        <f t="shared" si="6"/>
        <v>2273.1642417095941</v>
      </c>
      <c r="P17" s="21">
        <f t="shared" si="10"/>
        <v>2315.2607262836209</v>
      </c>
      <c r="Q17" s="4"/>
      <c r="R17" s="4"/>
      <c r="S17" s="4"/>
      <c r="T17" s="4"/>
      <c r="U17" s="4"/>
    </row>
    <row r="18" spans="1:21" s="1" customFormat="1" x14ac:dyDescent="0.2">
      <c r="A18" s="1">
        <f t="shared" si="11"/>
        <v>6</v>
      </c>
      <c r="B18" s="5">
        <v>22.16</v>
      </c>
      <c r="C18" s="6">
        <v>23.22</v>
      </c>
      <c r="D18" s="6">
        <v>4.53</v>
      </c>
      <c r="E18" s="3">
        <v>12.98</v>
      </c>
      <c r="F18" s="3">
        <f t="shared" si="7"/>
        <v>9.5227411526469755E-2</v>
      </c>
      <c r="G18" s="21">
        <f t="shared" si="0"/>
        <v>22.741067752454267</v>
      </c>
      <c r="H18" s="21">
        <f t="shared" si="8"/>
        <v>10341.296399999999</v>
      </c>
      <c r="I18" s="21">
        <f t="shared" si="1"/>
        <v>10077.061056170865</v>
      </c>
      <c r="J18" s="21">
        <f t="shared" si="2"/>
        <v>1010.597132171641</v>
      </c>
      <c r="K18" s="21">
        <f t="shared" si="9"/>
        <v>9066.4639239992248</v>
      </c>
      <c r="L18" s="21">
        <f t="shared" si="3"/>
        <v>0</v>
      </c>
      <c r="M18" s="21">
        <f t="shared" si="4"/>
        <v>2361.6369592928272</v>
      </c>
      <c r="N18" s="21">
        <f t="shared" si="5"/>
        <v>2322.7681121578803</v>
      </c>
      <c r="O18" s="21">
        <f t="shared" si="6"/>
        <v>2301.2936590139248</v>
      </c>
      <c r="P18" s="21">
        <f t="shared" si="10"/>
        <v>2263.4179681322835</v>
      </c>
      <c r="Q18" s="4"/>
      <c r="R18" s="4"/>
      <c r="S18" s="4"/>
      <c r="T18" s="4"/>
      <c r="U18" s="4"/>
    </row>
    <row r="19" spans="1:21" s="1" customFormat="1" x14ac:dyDescent="0.2">
      <c r="A19" s="1">
        <f t="shared" si="11"/>
        <v>7</v>
      </c>
      <c r="B19" s="5">
        <v>20</v>
      </c>
      <c r="C19" s="6">
        <v>23.52</v>
      </c>
      <c r="D19" s="6">
        <v>2.4900000000000002</v>
      </c>
      <c r="E19" s="3">
        <v>14.04</v>
      </c>
      <c r="F19" s="3">
        <f t="shared" si="7"/>
        <v>5.1790859650796682E-2</v>
      </c>
      <c r="G19" s="21">
        <f t="shared" si="0"/>
        <v>20.615866086302045</v>
      </c>
      <c r="H19" s="21">
        <f t="shared" si="8"/>
        <v>9432.9000000000015</v>
      </c>
      <c r="I19" s="21">
        <f t="shared" si="1"/>
        <v>9151.1071720315213</v>
      </c>
      <c r="J19" s="21">
        <f t="shared" si="2"/>
        <v>503.58169930349152</v>
      </c>
      <c r="K19" s="21">
        <f t="shared" si="9"/>
        <v>8647.5254727280299</v>
      </c>
      <c r="L19" s="21">
        <f t="shared" si="3"/>
        <v>0</v>
      </c>
      <c r="M19" s="21">
        <f t="shared" si="4"/>
        <v>2252.5116665122505</v>
      </c>
      <c r="N19" s="21">
        <f t="shared" si="5"/>
        <v>2288.4142841699991</v>
      </c>
      <c r="O19" s="21">
        <f t="shared" si="6"/>
        <v>2185.2214765877857</v>
      </c>
      <c r="P19" s="21">
        <f t="shared" si="10"/>
        <v>2220.0515608611831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8</v>
      </c>
      <c r="B20" s="5">
        <v>10.91</v>
      </c>
      <c r="C20" s="6">
        <v>24.02</v>
      </c>
      <c r="D20" s="6">
        <v>1.0900000000000001</v>
      </c>
      <c r="E20" s="3">
        <v>14.04</v>
      </c>
      <c r="F20" s="3">
        <f t="shared" si="7"/>
        <v>2.2233103577332127E-2</v>
      </c>
      <c r="G20" s="21">
        <f t="shared" si="0"/>
        <v>11.245954950077765</v>
      </c>
      <c r="H20" s="21">
        <f t="shared" si="8"/>
        <v>5247.1099500000009</v>
      </c>
      <c r="I20" s="21">
        <f t="shared" si="1"/>
        <v>5090.36091720287</v>
      </c>
      <c r="J20" s="21">
        <f t="shared" si="2"/>
        <v>120.25187168568655</v>
      </c>
      <c r="K20" s="21">
        <f t="shared" si="9"/>
        <v>4970.1090455171834</v>
      </c>
      <c r="L20" s="21">
        <f t="shared" si="3"/>
        <v>0</v>
      </c>
      <c r="M20" s="21">
        <f t="shared" si="4"/>
        <v>1294.6164361321933</v>
      </c>
      <c r="N20" s="21">
        <f t="shared" si="5"/>
        <v>1272.9448377689289</v>
      </c>
      <c r="O20" s="21">
        <f t="shared" si="6"/>
        <v>1255.941836945075</v>
      </c>
      <c r="P20" s="21">
        <f t="shared" si="10"/>
        <v>1234.9176429844208</v>
      </c>
      <c r="Q20" s="4"/>
      <c r="R20" s="4"/>
      <c r="S20" s="4"/>
      <c r="T20" s="4"/>
      <c r="U20" s="4"/>
    </row>
    <row r="21" spans="1:21" s="1" customFormat="1" x14ac:dyDescent="0.2">
      <c r="A21" s="1">
        <f t="shared" si="11"/>
        <v>9</v>
      </c>
      <c r="B21" s="5">
        <v>9.09</v>
      </c>
      <c r="C21" s="6">
        <v>23.29</v>
      </c>
      <c r="D21" s="6">
        <v>1.18</v>
      </c>
      <c r="E21" s="3">
        <v>14.04</v>
      </c>
      <c r="F21" s="3">
        <f t="shared" si="7"/>
        <v>2.4820000428825661E-2</v>
      </c>
      <c r="G21" s="21">
        <f t="shared" si="0"/>
        <v>9.3699111362242782</v>
      </c>
      <c r="H21" s="21">
        <f t="shared" si="8"/>
        <v>4239.4850999999999</v>
      </c>
      <c r="I21" s="21">
        <f t="shared" si="1"/>
        <v>4112.8372509335159</v>
      </c>
      <c r="J21" s="21">
        <f t="shared" si="2"/>
        <v>108.464217330705</v>
      </c>
      <c r="K21" s="21">
        <f t="shared" si="9"/>
        <v>4004.3730336028107</v>
      </c>
      <c r="L21" s="21">
        <f t="shared" si="3"/>
        <v>0</v>
      </c>
      <c r="M21" s="21">
        <f t="shared" si="4"/>
        <v>1043.0610471982666</v>
      </c>
      <c r="N21" s="21">
        <f t="shared" si="5"/>
        <v>1028.4958242285909</v>
      </c>
      <c r="O21" s="21">
        <f t="shared" si="6"/>
        <v>1011.90126364986</v>
      </c>
      <c r="P21" s="21">
        <f t="shared" si="10"/>
        <v>997.77115346316896</v>
      </c>
      <c r="Q21" s="4"/>
      <c r="R21" s="4"/>
      <c r="S21" s="4"/>
      <c r="T21" s="4"/>
      <c r="U21" s="4"/>
    </row>
    <row r="22" spans="1:21" s="1" customFormat="1" x14ac:dyDescent="0.2">
      <c r="A22" s="1">
        <f t="shared" si="11"/>
        <v>10</v>
      </c>
      <c r="B22" s="5">
        <v>13.78</v>
      </c>
      <c r="C22" s="6">
        <v>20.8</v>
      </c>
      <c r="D22" s="6">
        <v>1.6</v>
      </c>
      <c r="E22" s="3">
        <v>14.04</v>
      </c>
      <c r="F22" s="3">
        <f t="shared" si="7"/>
        <v>3.7658349328214977E-2</v>
      </c>
      <c r="G22" s="21">
        <f t="shared" si="0"/>
        <v>14.204331733462109</v>
      </c>
      <c r="H22" s="21">
        <f t="shared" si="8"/>
        <v>5743.5039999999999</v>
      </c>
      <c r="I22" s="21">
        <f t="shared" si="1"/>
        <v>5571.9259874473082</v>
      </c>
      <c r="J22" s="21">
        <f t="shared" si="2"/>
        <v>222.95119088842128</v>
      </c>
      <c r="K22" s="21">
        <f t="shared" si="9"/>
        <v>5348.9747965588867</v>
      </c>
      <c r="L22" s="21">
        <f t="shared" si="3"/>
        <v>0</v>
      </c>
      <c r="M22" s="21">
        <f t="shared" si="4"/>
        <v>1393.3035723487624</v>
      </c>
      <c r="N22" s="21">
        <f t="shared" si="5"/>
        <v>1393.3696524703455</v>
      </c>
      <c r="O22" s="21">
        <f t="shared" si="6"/>
        <v>1351.6808525202107</v>
      </c>
      <c r="P22" s="21">
        <f t="shared" si="10"/>
        <v>1351.7449586036578</v>
      </c>
      <c r="Q22" s="4"/>
      <c r="R22" s="4"/>
      <c r="S22" s="4"/>
      <c r="T22" s="4"/>
      <c r="U22" s="4"/>
    </row>
    <row r="23" spans="1:21" s="1" customFormat="1" x14ac:dyDescent="0.2">
      <c r="A23" s="1">
        <f t="shared" si="11"/>
        <v>11</v>
      </c>
      <c r="B23" s="5">
        <v>4.22</v>
      </c>
      <c r="C23" s="6">
        <v>19.760000000000002</v>
      </c>
      <c r="D23" s="6">
        <v>1.79</v>
      </c>
      <c r="E23" s="3">
        <v>14.04</v>
      </c>
      <c r="F23" s="3">
        <f t="shared" si="7"/>
        <v>4.4332546485060402E-2</v>
      </c>
      <c r="G23" s="21">
        <f t="shared" si="0"/>
        <v>4.3499477442097314</v>
      </c>
      <c r="H23" s="21">
        <f t="shared" si="8"/>
        <v>1671.5209</v>
      </c>
      <c r="I23" s="21">
        <f t="shared" si="1"/>
        <v>1621.5868816790785</v>
      </c>
      <c r="J23" s="21">
        <f t="shared" si="2"/>
        <v>76.384647393548477</v>
      </c>
      <c r="K23" s="21">
        <f t="shared" si="9"/>
        <v>1545.20223428553</v>
      </c>
      <c r="L23" s="21">
        <f t="shared" si="3"/>
        <v>0</v>
      </c>
      <c r="M23" s="21">
        <f t="shared" si="4"/>
        <v>402.495034079493</v>
      </c>
      <c r="N23" s="21">
        <f t="shared" si="5"/>
        <v>405.50968459844711</v>
      </c>
      <c r="O23" s="21">
        <f t="shared" si="6"/>
        <v>390.47113751570771</v>
      </c>
      <c r="P23" s="21">
        <f t="shared" si="10"/>
        <v>393.39573016326779</v>
      </c>
      <c r="Q23" s="4"/>
      <c r="R23" s="4"/>
      <c r="S23" s="4"/>
      <c r="T23" s="4"/>
      <c r="U23" s="4"/>
    </row>
    <row r="24" spans="1:21" s="1" customFormat="1" x14ac:dyDescent="0.2">
      <c r="A24" s="1">
        <f t="shared" si="11"/>
        <v>12</v>
      </c>
      <c r="B24" s="5">
        <v>7.93</v>
      </c>
      <c r="C24" s="6">
        <v>19.79</v>
      </c>
      <c r="D24" s="6">
        <v>0.61</v>
      </c>
      <c r="E24" s="3">
        <v>-1.54</v>
      </c>
      <c r="F24" s="3">
        <f t="shared" si="7"/>
        <v>1.5107357897527169E-2</v>
      </c>
      <c r="G24" s="21">
        <f t="shared" si="0"/>
        <v>7.932865300103237</v>
      </c>
      <c r="H24" s="21">
        <f t="shared" si="8"/>
        <v>3141.11265</v>
      </c>
      <c r="I24" s="21">
        <f t="shared" si="1"/>
        <v>3139.9781002427758</v>
      </c>
      <c r="J24" s="21">
        <f t="shared" si="2"/>
        <v>47.471059242347778</v>
      </c>
      <c r="K24" s="21">
        <f t="shared" si="9"/>
        <v>3092.5070410004282</v>
      </c>
      <c r="L24" s="21">
        <f t="shared" si="3"/>
        <v>0</v>
      </c>
      <c r="M24" s="21">
        <f t="shared" si="4"/>
        <v>805.53774725421101</v>
      </c>
      <c r="N24" s="21">
        <f t="shared" si="5"/>
        <v>-84.416882113659355</v>
      </c>
      <c r="O24" s="21">
        <f t="shared" si="6"/>
        <v>805.246792182739</v>
      </c>
      <c r="P24" s="21">
        <f t="shared" si="10"/>
        <v>-84.386391276882875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13</v>
      </c>
      <c r="B25" s="5">
        <v>19.87</v>
      </c>
      <c r="C25" s="6">
        <v>11.07</v>
      </c>
      <c r="D25" s="11">
        <v>0</v>
      </c>
      <c r="E25" s="3">
        <v>-1.54</v>
      </c>
      <c r="F25" s="3">
        <f t="shared" si="7"/>
        <v>0</v>
      </c>
      <c r="G25" s="21">
        <f t="shared" si="0"/>
        <v>19.877179509842538</v>
      </c>
      <c r="H25" s="21">
        <f t="shared" si="8"/>
        <v>4399.2180000000008</v>
      </c>
      <c r="I25" s="21">
        <f t="shared" si="1"/>
        <v>4397.6290306537794</v>
      </c>
      <c r="J25" s="21">
        <f t="shared" si="2"/>
        <v>0</v>
      </c>
      <c r="K25" s="21">
        <f t="shared" si="9"/>
        <v>4397.6290306537794</v>
      </c>
      <c r="L25" s="21">
        <f t="shared" si="3"/>
        <v>0</v>
      </c>
      <c r="M25" s="21">
        <f t="shared" si="4"/>
        <v>1145.4965617367125</v>
      </c>
      <c r="N25" s="21">
        <f t="shared" si="5"/>
        <v>-118.22825497783033</v>
      </c>
      <c r="O25" s="21">
        <f t="shared" si="6"/>
        <v>1145.0828157203066</v>
      </c>
      <c r="P25" s="21">
        <f t="shared" si="10"/>
        <v>-118.18555168987848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14</v>
      </c>
      <c r="B26" s="5">
        <v>8.19</v>
      </c>
      <c r="C26" s="6">
        <v>2.9</v>
      </c>
      <c r="D26" s="11">
        <v>0</v>
      </c>
      <c r="E26" s="3">
        <v>-1.54</v>
      </c>
      <c r="F26" s="3">
        <f t="shared" si="7"/>
        <v>0</v>
      </c>
      <c r="G26" s="21">
        <f t="shared" si="0"/>
        <v>8.1929592443689163</v>
      </c>
      <c r="H26" s="21">
        <f t="shared" si="8"/>
        <v>475.02</v>
      </c>
      <c r="I26" s="21">
        <f t="shared" si="1"/>
        <v>474.84842582048856</v>
      </c>
      <c r="J26" s="21">
        <f t="shared" si="2"/>
        <v>0</v>
      </c>
      <c r="K26" s="21">
        <f t="shared" si="9"/>
        <v>474.84842582048856</v>
      </c>
      <c r="L26" s="21">
        <f t="shared" si="3"/>
        <v>0</v>
      </c>
      <c r="M26" s="21">
        <f t="shared" si="4"/>
        <v>123.68875030884423</v>
      </c>
      <c r="N26" s="21">
        <f t="shared" si="5"/>
        <v>-12.766083808433443</v>
      </c>
      <c r="O26" s="21">
        <f t="shared" si="6"/>
        <v>123.64407472497612</v>
      </c>
      <c r="P26" s="21">
        <f t="shared" si="10"/>
        <v>-12.761472780781963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15</v>
      </c>
      <c r="B27" s="5">
        <v>3.41</v>
      </c>
      <c r="C27" s="6">
        <v>1.56</v>
      </c>
      <c r="D27" s="11">
        <v>0</v>
      </c>
      <c r="E27" s="3">
        <v>-42.04</v>
      </c>
      <c r="F27" s="3">
        <f t="shared" si="7"/>
        <v>0</v>
      </c>
      <c r="G27" s="21">
        <f t="shared" si="0"/>
        <v>4.5914949431503365</v>
      </c>
      <c r="H27" s="21">
        <f t="shared" si="8"/>
        <v>106.39200000000001</v>
      </c>
      <c r="I27" s="21">
        <f t="shared" si="1"/>
        <v>79.014944912707747</v>
      </c>
      <c r="J27" s="21">
        <f t="shared" si="2"/>
        <v>0</v>
      </c>
      <c r="K27" s="21">
        <f t="shared" si="9"/>
        <v>79.014944912707747</v>
      </c>
      <c r="L27" s="21">
        <f t="shared" si="3"/>
        <v>0</v>
      </c>
      <c r="M27" s="21">
        <f t="shared" si="4"/>
        <v>20.58185151417069</v>
      </c>
      <c r="N27" s="21">
        <f t="shared" si="5"/>
        <v>-71.245323667183669</v>
      </c>
      <c r="O27" s="21">
        <f t="shared" si="6"/>
        <v>15.285678092278815</v>
      </c>
      <c r="P27" s="21">
        <f t="shared" si="10"/>
        <v>-52.912299090632295</v>
      </c>
      <c r="Q27" s="4"/>
      <c r="R27" s="4"/>
      <c r="S27" s="4"/>
      <c r="T27" s="4"/>
      <c r="U27" s="4"/>
    </row>
    <row r="28" spans="1:21" s="1" customFormat="1" ht="13.5" thickBot="1" x14ac:dyDescent="0.25">
      <c r="K28" s="10" t="s">
        <v>39</v>
      </c>
      <c r="L28" s="20">
        <f>SUM(L13:L27)</f>
        <v>0</v>
      </c>
      <c r="M28" s="20">
        <f>ROUND(SUM(M13:M27),2)</f>
        <v>19322.740000000002</v>
      </c>
      <c r="N28" s="20">
        <f>ROUND(SUM(N13:N27),2)</f>
        <v>19614.75</v>
      </c>
      <c r="O28" s="20">
        <f>ROUND(SUM(O13:O27),2)</f>
        <v>18663.240000000002</v>
      </c>
      <c r="P28" s="20">
        <f>ROUND(SUM(P13:P27),2)</f>
        <v>18607.8</v>
      </c>
      <c r="Q28" s="8"/>
      <c r="R28" s="8"/>
      <c r="S28" s="8"/>
      <c r="T28" s="8"/>
      <c r="U28" s="8"/>
    </row>
    <row r="29" spans="1:21" s="1" customFormat="1" x14ac:dyDescent="0.2">
      <c r="L29" s="9"/>
      <c r="M29" s="8"/>
      <c r="N29" s="8"/>
      <c r="O29" s="4"/>
      <c r="P29" s="8"/>
      <c r="Q29" s="8"/>
      <c r="R29" s="8"/>
      <c r="S29" s="8"/>
      <c r="T29" s="8"/>
      <c r="U29" s="8"/>
    </row>
    <row r="30" spans="1:21" s="1" customFormat="1" x14ac:dyDescent="0.2">
      <c r="L30" s="9"/>
      <c r="M30" s="8"/>
      <c r="N30" s="8"/>
      <c r="O30" s="4"/>
      <c r="P30" s="8"/>
      <c r="Q30" s="8"/>
      <c r="R30" s="8"/>
      <c r="S30" s="8"/>
      <c r="T30" s="8"/>
      <c r="U30" s="8"/>
    </row>
    <row r="31" spans="1:21" s="1" customFormat="1" x14ac:dyDescent="0.2">
      <c r="J31" s="10" t="s">
        <v>34</v>
      </c>
      <c r="L31" s="17" t="str">
        <f>CONCATENATE("FOS=Σ(c'l+N'tanφ)/Σ(Wsinα)=(",L28,"+",M28,")/",N28,"=",ROUND(((L28+M28)/N28),3))</f>
        <v>FOS=Σ(c'l+N'tanφ)/Σ(Wsinα)=(0+19322.74)/19614.75=0.985</v>
      </c>
    </row>
    <row r="32" spans="1:21" s="1" customFormat="1" x14ac:dyDescent="0.2">
      <c r="J32" s="10"/>
      <c r="L32" s="10"/>
      <c r="O32" s="7"/>
    </row>
    <row r="33" spans="10:15" x14ac:dyDescent="0.2">
      <c r="J33" s="10" t="s">
        <v>35</v>
      </c>
      <c r="L33" s="18" t="str">
        <f>CONCATENATE("FOS=Σ((c*l+N'tanφ)cosα)/Σ(Nsinα)=(",O28,")/",P28,"=",ROUND((O28/P28),3))</f>
        <v>FOS=Σ((c*l+N'tanφ)cosα)/Σ(Nsinα)=(18663.24)/18607.8=1.003</v>
      </c>
      <c r="O33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Resolving_to_base</vt:lpstr>
      <vt:lpstr>HorizontalEquilibrium</vt:lpstr>
    </vt:vector>
  </TitlesOfParts>
  <Company>KDEP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</dc:creator>
  <cp:lastModifiedBy> </cp:lastModifiedBy>
  <dcterms:created xsi:type="dcterms:W3CDTF">2012-07-24T11:21:08Z</dcterms:created>
  <dcterms:modified xsi:type="dcterms:W3CDTF">2012-09-26T19:43:04Z</dcterms:modified>
</cp:coreProperties>
</file>